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Archivos Departamento Financiero/Documentos Portal de Transparencia/7. Julio 2022/"/>
    </mc:Choice>
  </mc:AlternateContent>
  <xr:revisionPtr revIDLastSave="1" documentId="8_{B1D84199-AC15-4E95-8A1E-C88A18EFE75F}" xr6:coauthVersionLast="47" xr6:coauthVersionMax="47" xr10:uidLastSave="{045BDAF6-B59D-4900-9576-E3559378238C}"/>
  <bookViews>
    <workbookView xWindow="-120" yWindow="-120" windowWidth="29040" windowHeight="15840" xr2:uid="{348ECAEC-6BD2-4DA2-BCE0-284A39D238B2}"/>
  </bookViews>
  <sheets>
    <sheet name="EJECUCION AL 31 DE JULIO 2022" sheetId="4" r:id="rId1"/>
  </sheets>
  <definedNames>
    <definedName name="_xlnm.Print_Area" localSheetId="0">'EJECUCION AL 31 DE JULIO 2022'!$A$1:$P$98</definedName>
    <definedName name="_xlnm.Print_Titles" localSheetId="0">'EJECUCION AL 31 DE JULIO 2022'!$1:$6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3" i="4" l="1"/>
  <c r="B73" i="4"/>
  <c r="K72" i="4"/>
  <c r="B72" i="4"/>
  <c r="K71" i="4"/>
  <c r="B71" i="4"/>
  <c r="K70" i="4"/>
  <c r="B70" i="4"/>
  <c r="K69" i="4"/>
  <c r="B69" i="4"/>
  <c r="K68" i="4"/>
  <c r="B68" i="4"/>
  <c r="K67" i="4"/>
  <c r="B67" i="4"/>
  <c r="K66" i="4"/>
  <c r="B66" i="4"/>
  <c r="K65" i="4"/>
  <c r="B65" i="4"/>
  <c r="K64" i="4"/>
  <c r="B64" i="4"/>
  <c r="K63" i="4"/>
  <c r="P62" i="4"/>
  <c r="O62" i="4"/>
  <c r="N62" i="4"/>
  <c r="M62" i="4"/>
  <c r="L62" i="4"/>
  <c r="K62" i="4"/>
  <c r="J62" i="4"/>
  <c r="I62" i="4"/>
  <c r="H62" i="4"/>
  <c r="H74" i="4" s="1"/>
  <c r="H85" i="4" s="1"/>
  <c r="G62" i="4"/>
  <c r="G74" i="4" s="1"/>
  <c r="G85" i="4" s="1"/>
  <c r="F62" i="4"/>
  <c r="E62" i="4"/>
  <c r="E74" i="4" s="1"/>
  <c r="E85" i="4" s="1"/>
  <c r="D62" i="4"/>
  <c r="D74" i="4" s="1"/>
  <c r="D85" i="4" s="1"/>
  <c r="C62" i="4"/>
  <c r="B62" i="4"/>
  <c r="B74" i="4" s="1"/>
  <c r="B85" i="4" s="1"/>
  <c r="K61" i="4"/>
  <c r="K60" i="4"/>
  <c r="K59" i="4"/>
  <c r="K58" i="4"/>
  <c r="K57" i="4"/>
  <c r="K56" i="4"/>
  <c r="K55" i="4"/>
  <c r="K54" i="4"/>
  <c r="K52" i="4" s="1"/>
  <c r="K53" i="4"/>
  <c r="P52" i="4"/>
  <c r="O52" i="4"/>
  <c r="N52" i="4"/>
  <c r="N7" i="4" s="1"/>
  <c r="M52" i="4"/>
  <c r="L52" i="4"/>
  <c r="J52" i="4"/>
  <c r="I52" i="4"/>
  <c r="H52" i="4"/>
  <c r="G52" i="4"/>
  <c r="F52" i="4"/>
  <c r="E52" i="4"/>
  <c r="D52" i="4"/>
  <c r="C52" i="4"/>
  <c r="B52" i="4"/>
  <c r="B7" i="4" s="1"/>
  <c r="K51" i="4"/>
  <c r="K50" i="4"/>
  <c r="K49" i="4"/>
  <c r="K48" i="4"/>
  <c r="K47" i="4"/>
  <c r="K46" i="4"/>
  <c r="K45" i="4"/>
  <c r="K44" i="4"/>
  <c r="F43" i="4"/>
  <c r="K43" i="4" s="1"/>
  <c r="K42" i="4"/>
  <c r="K41" i="4"/>
  <c r="K40" i="4"/>
  <c r="K39" i="4"/>
  <c r="F38" i="4"/>
  <c r="F37" i="4" s="1"/>
  <c r="J37" i="4"/>
  <c r="I37" i="4"/>
  <c r="H37" i="4"/>
  <c r="G37" i="4"/>
  <c r="E37" i="4"/>
  <c r="D37" i="4"/>
  <c r="C37" i="4"/>
  <c r="B37" i="4"/>
  <c r="K36" i="4"/>
  <c r="C36" i="4"/>
  <c r="K35" i="4"/>
  <c r="K34" i="4"/>
  <c r="C34" i="4"/>
  <c r="K33" i="4"/>
  <c r="K32" i="4"/>
  <c r="C32" i="4"/>
  <c r="K31" i="4"/>
  <c r="K30" i="4"/>
  <c r="K29" i="4"/>
  <c r="K28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J26" i="4"/>
  <c r="G26" i="4"/>
  <c r="K26" i="4" s="1"/>
  <c r="K25" i="4"/>
  <c r="B25" i="4"/>
  <c r="J24" i="4"/>
  <c r="I24" i="4"/>
  <c r="H24" i="4"/>
  <c r="G24" i="4"/>
  <c r="F24" i="4"/>
  <c r="K24" i="4" s="1"/>
  <c r="E24" i="4"/>
  <c r="J23" i="4"/>
  <c r="K23" i="4" s="1"/>
  <c r="C23" i="4"/>
  <c r="C16" i="4" s="1"/>
  <c r="K22" i="4"/>
  <c r="H21" i="4"/>
  <c r="K21" i="4" s="1"/>
  <c r="K20" i="4"/>
  <c r="K19" i="4"/>
  <c r="C19" i="4"/>
  <c r="G18" i="4"/>
  <c r="G16" i="4" s="1"/>
  <c r="C18" i="4"/>
  <c r="K17" i="4"/>
  <c r="Q16" i="4"/>
  <c r="P16" i="4"/>
  <c r="O16" i="4"/>
  <c r="N16" i="4"/>
  <c r="M16" i="4"/>
  <c r="L16" i="4"/>
  <c r="I16" i="4"/>
  <c r="H16" i="4"/>
  <c r="E16" i="4"/>
  <c r="D16" i="4"/>
  <c r="B16" i="4"/>
  <c r="J15" i="4"/>
  <c r="I15" i="4"/>
  <c r="H15" i="4"/>
  <c r="G15" i="4"/>
  <c r="F15" i="4"/>
  <c r="K15" i="4" s="1"/>
  <c r="E15" i="4"/>
  <c r="D15" i="4"/>
  <c r="K14" i="4"/>
  <c r="K13" i="4"/>
  <c r="I12" i="4"/>
  <c r="H12" i="4"/>
  <c r="K12" i="4" s="1"/>
  <c r="K11" i="4"/>
  <c r="K10" i="4"/>
  <c r="J9" i="4"/>
  <c r="J8" i="4" s="1"/>
  <c r="I9" i="4"/>
  <c r="I8" i="4" s="1"/>
  <c r="I7" i="4" s="1"/>
  <c r="H9" i="4"/>
  <c r="G9" i="4"/>
  <c r="F9" i="4"/>
  <c r="F8" i="4" s="1"/>
  <c r="E9" i="4"/>
  <c r="E8" i="4" s="1"/>
  <c r="E7" i="4" s="1"/>
  <c r="D9" i="4"/>
  <c r="K9" i="4" s="1"/>
  <c r="Q8" i="4"/>
  <c r="P8" i="4"/>
  <c r="P7" i="4" s="1"/>
  <c r="O8" i="4"/>
  <c r="O7" i="4" s="1"/>
  <c r="N8" i="4"/>
  <c r="M8" i="4"/>
  <c r="L8" i="4"/>
  <c r="L7" i="4" s="1"/>
  <c r="H8" i="4"/>
  <c r="H7" i="4" s="1"/>
  <c r="G8" i="4"/>
  <c r="G7" i="4" s="1"/>
  <c r="D8" i="4"/>
  <c r="D7" i="4" s="1"/>
  <c r="C8" i="4"/>
  <c r="B8" i="4"/>
  <c r="AC7" i="4"/>
  <c r="V7" i="4"/>
  <c r="M7" i="4"/>
  <c r="K8" i="4" l="1"/>
  <c r="C74" i="4"/>
  <c r="C85" i="4" s="1"/>
  <c r="F74" i="4"/>
  <c r="F85" i="4" s="1"/>
  <c r="C7" i="4"/>
  <c r="F7" i="4"/>
  <c r="W7" i="4"/>
  <c r="X7" i="4" s="1"/>
  <c r="Y7" i="4" s="1"/>
  <c r="Z7" i="4" s="1"/>
  <c r="AA7" i="4" s="1"/>
  <c r="K38" i="4"/>
  <c r="K37" i="4" s="1"/>
  <c r="K74" i="4" s="1"/>
  <c r="K85" i="4" s="1"/>
  <c r="F16" i="4"/>
  <c r="J16" i="4"/>
  <c r="J7" i="4" s="1"/>
  <c r="K18" i="4"/>
  <c r="K16" i="4" s="1"/>
  <c r="AB6" i="4" l="1"/>
  <c r="AC6" i="4" s="1"/>
  <c r="K7" i="4"/>
</calcChain>
</file>

<file path=xl/sharedStrings.xml><?xml version="1.0" encoding="utf-8"?>
<sst xmlns="http://schemas.openxmlformats.org/spreadsheetml/2006/main" count="102" uniqueCount="102">
  <si>
    <t>INSTITUTO DE EDUCACION SUPERIOR EN FORMACION DIPLOMATICA Y CONSULAR (INESDYC)</t>
  </si>
  <si>
    <t xml:space="preserve">1. Gasto devengado. </t>
  </si>
  <si>
    <t xml:space="preserve">3. Se presenta la clasificación objetal del gasto al nivel de cuenta. </t>
  </si>
  <si>
    <t>En RD$</t>
  </si>
  <si>
    <t>4. Fecha de imputación: último día del mes analizado</t>
  </si>
  <si>
    <t>5. Fecha de registro: el día 10 del mes siguiente al mes analizado</t>
  </si>
  <si>
    <t>Detalle</t>
  </si>
  <si>
    <t>Presupuesto Aprobado</t>
  </si>
  <si>
    <t>Modificado</t>
  </si>
  <si>
    <t>2 - GASTOS</t>
  </si>
  <si>
    <t>2.1 - REMUNERACIONES Y CONTRIBUCIONES</t>
  </si>
  <si>
    <t>2.1.1 - REMUNERACIONES</t>
  </si>
  <si>
    <t>2.1.1.2- REMUNERACION AL PERSONAL CON CARÁCTER TRANSITORIO</t>
  </si>
  <si>
    <t>2.1.1.5 PRESTACIONES ECONOMICAS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</si>
  <si>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</si>
  <si>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</si>
  <si>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</si>
  <si>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</si>
  <si>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</si>
  <si>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</si>
  <si>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</si>
  <si>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</si>
  <si>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</si>
  <si>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</si>
  <si>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</si>
  <si>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</si>
  <si>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</si>
  <si>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2.2.8.8 - IMPUESTOS DERECHOS Y TASAS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</si>
  <si>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</si>
  <si>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</si>
  <si>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</si>
  <si>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</si>
  <si>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</si>
  <si>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</si>
  <si>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</si>
  <si>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</si>
  <si>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</si>
  <si>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</si>
  <si>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</si>
  <si>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</si>
  <si>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</si>
  <si>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</si>
  <si>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</si>
  <si>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</si>
  <si>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</si>
  <si>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</si>
  <si>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</si>
  <si>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</si>
  <si>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</si>
  <si>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</si>
  <si>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</si>
  <si>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</si>
  <si>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</si>
  <si>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</si>
  <si>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</si>
  <si>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</si>
  <si>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</si>
  <si>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</si>
  <si>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</si>
  <si>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</si>
  <si>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</si>
  <si>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</si>
  <si>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</si>
  <si>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</si>
  <si>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</si>
  <si>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</si>
  <si>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</si>
  <si>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</si>
  <si>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</si>
  <si>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</si>
  <si>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</si>
  <si>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</si>
  <si>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</si>
  <si>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</si>
  <si>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</si>
  <si>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</si>
  <si>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</si>
  <si>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</si>
  <si>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</si>
  <si>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</si>
  <si>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</si>
  <si>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</si>
  <si>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</si>
  <si>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</si>
  <si>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</si>
  <si>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</si>
  <si>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</si>
  <si>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Ejecución de Gastos y Aplicaciones Financieras 2022</t>
  </si>
  <si>
    <t>Total</t>
  </si>
  <si>
    <t xml:space="preserve">Enero </t>
  </si>
  <si>
    <t xml:space="preserve">Febrero </t>
  </si>
  <si>
    <t>Marzo</t>
  </si>
  <si>
    <t>Abril</t>
  </si>
  <si>
    <t>Mayo</t>
  </si>
  <si>
    <t>Agosto</t>
  </si>
  <si>
    <t>Septiembre</t>
  </si>
  <si>
    <t xml:space="preserve">Octubre </t>
  </si>
  <si>
    <t>Noviembre</t>
  </si>
  <si>
    <t>Diciembre</t>
  </si>
  <si>
    <t>Gastos devengados</t>
  </si>
  <si>
    <t>Junio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</si>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</sst>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-* #,##0.00\ _$_-;\-* #,##0.00\ _$_-;_-* &quot;-&quot;??\ _$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64" fontId="3" fillId="0" borderId="0" xfId="1" applyFont="1" applyBorder="1"/>
    <xf numFmtId="164" fontId="2" fillId="2" borderId="0" xfId="1" applyFont="1" applyFill="1" applyBorder="1" applyAlignment="1">
      <alignment horizontal="center" vertical="center" wrapText="1"/>
    </xf>
    <xf numFmtId="43" fontId="3" fillId="0" borderId="0" xfId="0" applyNumberFormat="1" applyFont="1"/>
    <xf numFmtId="164" fontId="2" fillId="0" borderId="0" xfId="1" applyFont="1" applyFill="1" applyBorder="1" applyAlignment="1">
      <alignment horizontal="left" vertical="center" wrapText="1"/>
    </xf>
    <xf numFmtId="164" fontId="3" fillId="0" borderId="0" xfId="1" applyFont="1" applyFill="1" applyBorder="1"/>
    <xf numFmtId="9" fontId="3" fillId="0" borderId="0" xfId="2" applyFont="1" applyFill="1" applyBorder="1"/>
    <xf numFmtId="164" fontId="2" fillId="0" borderId="0" xfId="1" applyFont="1" applyFill="1" applyBorder="1"/>
    <xf numFmtId="165" fontId="3" fillId="0" borderId="0" xfId="0" applyNumberFormat="1" applyFont="1"/>
    <xf numFmtId="0" fontId="2" fillId="0" borderId="0" xfId="0" applyFont="1"/>
    <xf numFmtId="164" fontId="2" fillId="0" borderId="0" xfId="1" applyFont="1" applyFill="1" applyBorder="1" applyAlignment="1">
      <alignment vertical="center" wrapText="1"/>
    </xf>
    <xf numFmtId="4" fontId="0" fillId="0" borderId="0" xfId="0" applyNumberFormat="1"/>
    <xf numFmtId="164" fontId="2" fillId="0" borderId="0" xfId="1" applyFont="1" applyFill="1" applyBorder="1" applyAlignment="1">
      <alignment wrapText="1"/>
    </xf>
    <xf numFmtId="164" fontId="2" fillId="0" borderId="0" xfId="1" applyFont="1" applyFill="1" applyBorder="1" applyAlignment="1"/>
    <xf numFmtId="164" fontId="3" fillId="0" borderId="0" xfId="1" applyFont="1" applyFill="1" applyBorder="1" applyAlignment="1"/>
    <xf numFmtId="164" fontId="3" fillId="0" borderId="0" xfId="1" applyFont="1" applyBorder="1" applyAlignment="1"/>
    <xf numFmtId="164" fontId="3" fillId="0" borderId="0" xfId="1" applyFont="1" applyBorder="1" applyAlignment="1">
      <alignment wrapText="1"/>
    </xf>
    <xf numFmtId="164" fontId="3" fillId="0" borderId="0" xfId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horizontal="center" vertical="center" wrapText="1"/>
    </xf>
    <xf numFmtId="164" fontId="2" fillId="3" borderId="0" xfId="1" applyFont="1" applyFill="1" applyBorder="1" applyAlignment="1">
      <alignment wrapText="1"/>
    </xf>
    <xf numFmtId="164" fontId="5" fillId="0" borderId="0" xfId="1" applyFont="1" applyFill="1" applyBorder="1"/>
    <xf numFmtId="0" fontId="4" fillId="0" borderId="0" xfId="0" applyFont="1" applyFill="1" applyBorder="1"/>
    <xf numFmtId="4" fontId="5" fillId="0" borderId="0" xfId="0" applyNumberFormat="1" applyFont="1" applyFill="1" applyBorder="1"/>
    <xf numFmtId="0" fontId="5" fillId="0" borderId="0" xfId="0" applyFont="1" applyFill="1" applyBorder="1"/>
    <xf numFmtId="164" fontId="2" fillId="0" borderId="2" xfId="1" applyFont="1" applyFill="1" applyBorder="1" applyAlignment="1">
      <alignment wrapText="1"/>
    </xf>
    <xf numFmtId="164" fontId="2" fillId="0" borderId="2" xfId="1" applyFont="1" applyFill="1" applyBorder="1" applyAlignment="1"/>
    <xf numFmtId="164" fontId="3" fillId="0" borderId="2" xfId="1" applyFont="1" applyFill="1" applyBorder="1" applyAlignment="1">
      <alignment horizontal="left" vertical="center" wrapText="1"/>
    </xf>
    <xf numFmtId="164" fontId="3" fillId="0" borderId="2" xfId="1" applyFont="1" applyFill="1" applyBorder="1" applyAlignment="1">
      <alignment wrapText="1"/>
    </xf>
    <xf numFmtId="164" fontId="2" fillId="0" borderId="2" xfId="1" applyFont="1" applyFill="1" applyBorder="1" applyAlignment="1">
      <alignment horizontal="left" vertical="center" wrapText="1"/>
    </xf>
    <xf numFmtId="164" fontId="3" fillId="0" borderId="2" xfId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164" fontId="2" fillId="0" borderId="3" xfId="1" applyFont="1" applyFill="1" applyBorder="1" applyAlignment="1">
      <alignment horizontal="left" vertical="center" wrapText="1"/>
    </xf>
    <xf numFmtId="164" fontId="2" fillId="0" borderId="3" xfId="1" applyFont="1" applyFill="1" applyBorder="1" applyAlignment="1">
      <alignment vertical="center"/>
    </xf>
    <xf numFmtId="164" fontId="3" fillId="0" borderId="3" xfId="1" applyFont="1" applyFill="1" applyBorder="1" applyAlignment="1">
      <alignment horizontal="left" vertical="center" wrapText="1"/>
    </xf>
    <xf numFmtId="164" fontId="3" fillId="0" borderId="3" xfId="1" applyFont="1" applyFill="1" applyBorder="1" applyAlignment="1">
      <alignment vertical="center"/>
    </xf>
    <xf numFmtId="164" fontId="2" fillId="0" borderId="4" xfId="1" applyFont="1" applyFill="1" applyBorder="1" applyAlignment="1">
      <alignment wrapText="1"/>
    </xf>
    <xf numFmtId="164" fontId="2" fillId="0" borderId="4" xfId="1" applyFont="1" applyFill="1" applyBorder="1" applyAlignment="1"/>
    <xf numFmtId="164" fontId="3" fillId="0" borderId="4" xfId="1" applyFont="1" applyFill="1" applyBorder="1" applyAlignment="1"/>
    <xf numFmtId="164" fontId="2" fillId="2" borderId="1" xfId="1" applyFont="1" applyFill="1" applyBorder="1" applyAlignment="1">
      <alignment horizontal="center" vertical="center" wrapText="1"/>
    </xf>
    <xf numFmtId="164" fontId="2" fillId="2" borderId="5" xfId="1" applyFont="1" applyFill="1" applyBorder="1" applyAlignment="1">
      <alignment horizontal="center" vertical="center" wrapText="1"/>
    </xf>
    <xf numFmtId="164" fontId="2" fillId="2" borderId="7" xfId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wrapText="1"/>
    </xf>
    <xf numFmtId="164" fontId="2" fillId="3" borderId="1" xfId="1" applyFont="1" applyFill="1" applyBorder="1" applyAlignment="1">
      <alignment wrapText="1"/>
    </xf>
    <xf numFmtId="164" fontId="2" fillId="3" borderId="5" xfId="1" applyFont="1" applyFill="1" applyBorder="1" applyAlignment="1">
      <alignment wrapText="1"/>
    </xf>
    <xf numFmtId="164" fontId="2" fillId="3" borderId="7" xfId="1" applyFont="1" applyFill="1" applyBorder="1" applyAlignment="1">
      <alignment wrapText="1"/>
    </xf>
    <xf numFmtId="164" fontId="3" fillId="0" borderId="2" xfId="1" applyFont="1" applyFill="1" applyBorder="1" applyAlignment="1"/>
    <xf numFmtId="164" fontId="3" fillId="0" borderId="2" xfId="1" applyFont="1" applyBorder="1" applyAlignment="1"/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164" fontId="2" fillId="0" borderId="4" xfId="1" applyFont="1" applyFill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 indent="2"/>
    </xf>
    <xf numFmtId="4" fontId="0" fillId="0" borderId="0" xfId="0" applyNumberFormat="1" applyBorder="1"/>
    <xf numFmtId="164" fontId="3" fillId="0" borderId="4" xfId="1" applyFont="1" applyFill="1" applyBorder="1"/>
    <xf numFmtId="0" fontId="3" fillId="0" borderId="0" xfId="0" applyFont="1" applyBorder="1"/>
    <xf numFmtId="0" fontId="2" fillId="0" borderId="0" xfId="0" applyFont="1" applyBorder="1"/>
    <xf numFmtId="0" fontId="3" fillId="0" borderId="4" xfId="0" applyFont="1" applyBorder="1"/>
    <xf numFmtId="164" fontId="3" fillId="0" borderId="8" xfId="1" applyFont="1" applyFill="1" applyBorder="1" applyAlignment="1"/>
    <xf numFmtId="164" fontId="3" fillId="0" borderId="9" xfId="1" applyFont="1" applyFill="1" applyBorder="1" applyAlignment="1"/>
    <xf numFmtId="164" fontId="4" fillId="0" borderId="0" xfId="1" applyFont="1" applyFill="1" applyBorder="1" applyAlignment="1">
      <alignment horizontal="center"/>
    </xf>
    <xf numFmtId="0" fontId="3" fillId="0" borderId="10" xfId="0" applyFont="1" applyBorder="1" applyAlignment="1">
      <alignment wrapText="1"/>
    </xf>
    <xf numFmtId="164" fontId="3" fillId="0" borderId="8" xfId="1" applyFont="1" applyFill="1" applyBorder="1" applyAlignment="1">
      <alignment wrapText="1"/>
    </xf>
    <xf numFmtId="164" fontId="3" fillId="0" borderId="10" xfId="1" applyFont="1" applyFill="1" applyBorder="1" applyAlignment="1">
      <alignment vertical="center"/>
    </xf>
    <xf numFmtId="164" fontId="2" fillId="0" borderId="11" xfId="1" applyFont="1" applyFill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164" fontId="4" fillId="0" borderId="0" xfId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1047749</xdr:colOff>
      <xdr:row>0</xdr:row>
      <xdr:rowOff>95250</xdr:rowOff>
    </xdr:from>
    <xdr:ext cx="1063625" cy="970760"/>
    <xdr:pic>
      <xdr:nvPicPr>
        <xdr:cNvPr id="2" name="Imagen 1" descr="INESDyC">
          <a:extLst>
            <a:ext uri="{FF2B5EF4-FFF2-40B4-BE49-F238E27FC236}">
              <a16:creationId xmlns:a16="http://schemas.microsoft.com/office/drawing/2014/main" id="{815A2B94-46AD-480D-8A67-7C04FCD95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9" y="95250"/>
          <a:ext cx="1063625" cy="970760"/>
        </a:xfrm>
        <a:prstGeom prst="rect">
          <a:avLst/>
        </a:prstGeom>
        <a:ln w="12700" cap="flat">
          <a:noFill/>
          <a:miter lim="400000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4939394</xdr:colOff>
      <xdr:row>85</xdr:row>
      <xdr:rowOff>244926</xdr:rowOff>
    </xdr:from>
    <xdr:to>
      <xdr:col>8</xdr:col>
      <xdr:colOff>299357</xdr:colOff>
      <xdr:row>97</xdr:row>
      <xdr:rowOff>277746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AF297A1-BE4B-F716-AE7F-D0E35A231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39394" y="24424819"/>
          <a:ext cx="11824606" cy="3625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D143B-7F39-48B6-91AE-AF6D29BC0E0C}">
  <dimension ref="A1:AC98"/>
  <sheetViews>
    <sheetView showGridLines="0" tabSelected="1" view="pageBreakPreview" zoomScale="70" zoomScaleNormal="70" zoomScaleSheetLayoutView="70" workbookViewId="0">
      <pane ySplit="1" topLeftCell="A2" activePane="bottomLeft" state="frozen"/>
      <selection pane="bottomLeft" activeCell="A23" sqref="A23"/>
    </sheetView>
  </sheetViews>
  <sheetFormatPr baseColWidth="10" defaultColWidth="9.140625" defaultRowHeight="21" x14ac:dyDescent="0.35"/>
  <cols>
    <col min="1" max="1" width="100.7109375" style="1" customWidth="1"/>
    <col min="2" max="2" width="21.28515625" style="3" customWidth="1"/>
    <col min="3" max="3" width="20.7109375" style="3" customWidth="1"/>
    <col min="4" max="4" width="20.85546875" style="3" customWidth="1"/>
    <col min="5" max="5" width="20.7109375" style="3" customWidth="1"/>
    <col min="6" max="8" width="20.85546875" style="3" customWidth="1"/>
    <col min="9" max="9" width="20.7109375" style="3" customWidth="1"/>
    <col min="10" max="10" width="20.85546875" style="3" customWidth="1"/>
    <col min="11" max="11" width="21.42578125" style="3" customWidth="1"/>
    <col min="12" max="12" width="18.42578125" style="3" hidden="1" customWidth="1"/>
    <col min="13" max="13" width="18.5703125" style="3" hidden="1" customWidth="1"/>
    <col min="14" max="14" width="15.7109375" style="3" hidden="1" customWidth="1"/>
    <col min="15" max="15" width="17.5703125" style="3" hidden="1" customWidth="1"/>
    <col min="16" max="16" width="17" style="3" hidden="1" customWidth="1"/>
    <col min="17" max="17" width="0" style="1" hidden="1" customWidth="1"/>
    <col min="18" max="18" width="96.7109375" style="1" hidden="1" customWidth="1"/>
    <col min="19" max="19" width="0" style="1" hidden="1" customWidth="1"/>
    <col min="20" max="27" width="8.5703125" style="1" hidden="1" customWidth="1"/>
    <col min="28" max="29" width="10" style="1" hidden="1" customWidth="1"/>
    <col min="30" max="30" width="9.140625" style="1"/>
    <col min="31" max="31" width="17.140625" style="1" bestFit="1" customWidth="1"/>
    <col min="32" max="258" width="9.140625" style="1"/>
    <col min="259" max="259" width="89.85546875" style="1" customWidth="1"/>
    <col min="260" max="260" width="27.7109375" style="1" customWidth="1"/>
    <col min="261" max="261" width="25.7109375" style="1" customWidth="1"/>
    <col min="262" max="262" width="23.7109375" style="1" customWidth="1"/>
    <col min="263" max="263" width="24.140625" style="1" customWidth="1"/>
    <col min="264" max="264" width="23.7109375" style="1" customWidth="1"/>
    <col min="265" max="265" width="24.140625" style="1" customWidth="1"/>
    <col min="266" max="266" width="23.42578125" style="1" customWidth="1"/>
    <col min="267" max="267" width="24.140625" style="1" bestFit="1" customWidth="1"/>
    <col min="268" max="270" width="22.5703125" style="1" customWidth="1"/>
    <col min="271" max="271" width="22.5703125" style="1" bestFit="1" customWidth="1"/>
    <col min="272" max="272" width="23.7109375" style="1" bestFit="1" customWidth="1"/>
    <col min="273" max="273" width="9.140625" style="1"/>
    <col min="274" max="274" width="96.7109375" style="1" bestFit="1" customWidth="1"/>
    <col min="275" max="275" width="9.140625" style="1"/>
    <col min="276" max="283" width="8.5703125" style="1" bestFit="1" customWidth="1"/>
    <col min="284" max="285" width="10" style="1" bestFit="1" customWidth="1"/>
    <col min="286" max="514" width="9.140625" style="1"/>
    <col min="515" max="515" width="89.85546875" style="1" customWidth="1"/>
    <col min="516" max="516" width="27.7109375" style="1" customWidth="1"/>
    <col min="517" max="517" width="25.7109375" style="1" customWidth="1"/>
    <col min="518" max="518" width="23.7109375" style="1" customWidth="1"/>
    <col min="519" max="519" width="24.140625" style="1" customWidth="1"/>
    <col min="520" max="520" width="23.7109375" style="1" customWidth="1"/>
    <col min="521" max="521" width="24.140625" style="1" customWidth="1"/>
    <col min="522" max="522" width="23.42578125" style="1" customWidth="1"/>
    <col min="523" max="523" width="24.140625" style="1" bestFit="1" customWidth="1"/>
    <col min="524" max="526" width="22.5703125" style="1" customWidth="1"/>
    <col min="527" max="527" width="22.5703125" style="1" bestFit="1" customWidth="1"/>
    <col min="528" max="528" width="23.7109375" style="1" bestFit="1" customWidth="1"/>
    <col min="529" max="529" width="9.140625" style="1"/>
    <col min="530" max="530" width="96.7109375" style="1" bestFit="1" customWidth="1"/>
    <col min="531" max="531" width="9.140625" style="1"/>
    <col min="532" max="539" width="8.5703125" style="1" bestFit="1" customWidth="1"/>
    <col min="540" max="541" width="10" style="1" bestFit="1" customWidth="1"/>
    <col min="542" max="770" width="9.140625" style="1"/>
    <col min="771" max="771" width="89.85546875" style="1" customWidth="1"/>
    <col min="772" max="772" width="27.7109375" style="1" customWidth="1"/>
    <col min="773" max="773" width="25.7109375" style="1" customWidth="1"/>
    <col min="774" max="774" width="23.7109375" style="1" customWidth="1"/>
    <col min="775" max="775" width="24.140625" style="1" customWidth="1"/>
    <col min="776" max="776" width="23.7109375" style="1" customWidth="1"/>
    <col min="777" max="777" width="24.140625" style="1" customWidth="1"/>
    <col min="778" max="778" width="23.42578125" style="1" customWidth="1"/>
    <col min="779" max="779" width="24.140625" style="1" bestFit="1" customWidth="1"/>
    <col min="780" max="782" width="22.5703125" style="1" customWidth="1"/>
    <col min="783" max="783" width="22.5703125" style="1" bestFit="1" customWidth="1"/>
    <col min="784" max="784" width="23.7109375" style="1" bestFit="1" customWidth="1"/>
    <col min="785" max="785" width="9.140625" style="1"/>
    <col min="786" max="786" width="96.7109375" style="1" bestFit="1" customWidth="1"/>
    <col min="787" max="787" width="9.140625" style="1"/>
    <col min="788" max="795" width="8.5703125" style="1" bestFit="1" customWidth="1"/>
    <col min="796" max="797" width="10" style="1" bestFit="1" customWidth="1"/>
    <col min="798" max="1026" width="9.140625" style="1"/>
    <col min="1027" max="1027" width="89.85546875" style="1" customWidth="1"/>
    <col min="1028" max="1028" width="27.7109375" style="1" customWidth="1"/>
    <col min="1029" max="1029" width="25.7109375" style="1" customWidth="1"/>
    <col min="1030" max="1030" width="23.7109375" style="1" customWidth="1"/>
    <col min="1031" max="1031" width="24.140625" style="1" customWidth="1"/>
    <col min="1032" max="1032" width="23.7109375" style="1" customWidth="1"/>
    <col min="1033" max="1033" width="24.140625" style="1" customWidth="1"/>
    <col min="1034" max="1034" width="23.42578125" style="1" customWidth="1"/>
    <col min="1035" max="1035" width="24.140625" style="1" bestFit="1" customWidth="1"/>
    <col min="1036" max="1038" width="22.5703125" style="1" customWidth="1"/>
    <col min="1039" max="1039" width="22.5703125" style="1" bestFit="1" customWidth="1"/>
    <col min="1040" max="1040" width="23.7109375" style="1" bestFit="1" customWidth="1"/>
    <col min="1041" max="1041" width="9.140625" style="1"/>
    <col min="1042" max="1042" width="96.7109375" style="1" bestFit="1" customWidth="1"/>
    <col min="1043" max="1043" width="9.140625" style="1"/>
    <col min="1044" max="1051" width="8.5703125" style="1" bestFit="1" customWidth="1"/>
    <col min="1052" max="1053" width="10" style="1" bestFit="1" customWidth="1"/>
    <col min="1054" max="1282" width="9.140625" style="1"/>
    <col min="1283" max="1283" width="89.85546875" style="1" customWidth="1"/>
    <col min="1284" max="1284" width="27.7109375" style="1" customWidth="1"/>
    <col min="1285" max="1285" width="25.7109375" style="1" customWidth="1"/>
    <col min="1286" max="1286" width="23.7109375" style="1" customWidth="1"/>
    <col min="1287" max="1287" width="24.140625" style="1" customWidth="1"/>
    <col min="1288" max="1288" width="23.7109375" style="1" customWidth="1"/>
    <col min="1289" max="1289" width="24.140625" style="1" customWidth="1"/>
    <col min="1290" max="1290" width="23.42578125" style="1" customWidth="1"/>
    <col min="1291" max="1291" width="24.140625" style="1" bestFit="1" customWidth="1"/>
    <col min="1292" max="1294" width="22.5703125" style="1" customWidth="1"/>
    <col min="1295" max="1295" width="22.5703125" style="1" bestFit="1" customWidth="1"/>
    <col min="1296" max="1296" width="23.7109375" style="1" bestFit="1" customWidth="1"/>
    <col min="1297" max="1297" width="9.140625" style="1"/>
    <col min="1298" max="1298" width="96.7109375" style="1" bestFit="1" customWidth="1"/>
    <col min="1299" max="1299" width="9.140625" style="1"/>
    <col min="1300" max="1307" width="8.5703125" style="1" bestFit="1" customWidth="1"/>
    <col min="1308" max="1309" width="10" style="1" bestFit="1" customWidth="1"/>
    <col min="1310" max="1538" width="9.140625" style="1"/>
    <col min="1539" max="1539" width="89.85546875" style="1" customWidth="1"/>
    <col min="1540" max="1540" width="27.7109375" style="1" customWidth="1"/>
    <col min="1541" max="1541" width="25.7109375" style="1" customWidth="1"/>
    <col min="1542" max="1542" width="23.7109375" style="1" customWidth="1"/>
    <col min="1543" max="1543" width="24.140625" style="1" customWidth="1"/>
    <col min="1544" max="1544" width="23.7109375" style="1" customWidth="1"/>
    <col min="1545" max="1545" width="24.140625" style="1" customWidth="1"/>
    <col min="1546" max="1546" width="23.42578125" style="1" customWidth="1"/>
    <col min="1547" max="1547" width="24.140625" style="1" bestFit="1" customWidth="1"/>
    <col min="1548" max="1550" width="22.5703125" style="1" customWidth="1"/>
    <col min="1551" max="1551" width="22.5703125" style="1" bestFit="1" customWidth="1"/>
    <col min="1552" max="1552" width="23.7109375" style="1" bestFit="1" customWidth="1"/>
    <col min="1553" max="1553" width="9.140625" style="1"/>
    <col min="1554" max="1554" width="96.7109375" style="1" bestFit="1" customWidth="1"/>
    <col min="1555" max="1555" width="9.140625" style="1"/>
    <col min="1556" max="1563" width="8.5703125" style="1" bestFit="1" customWidth="1"/>
    <col min="1564" max="1565" width="10" style="1" bestFit="1" customWidth="1"/>
    <col min="1566" max="1794" width="9.140625" style="1"/>
    <col min="1795" max="1795" width="89.85546875" style="1" customWidth="1"/>
    <col min="1796" max="1796" width="27.7109375" style="1" customWidth="1"/>
    <col min="1797" max="1797" width="25.7109375" style="1" customWidth="1"/>
    <col min="1798" max="1798" width="23.7109375" style="1" customWidth="1"/>
    <col min="1799" max="1799" width="24.140625" style="1" customWidth="1"/>
    <col min="1800" max="1800" width="23.7109375" style="1" customWidth="1"/>
    <col min="1801" max="1801" width="24.140625" style="1" customWidth="1"/>
    <col min="1802" max="1802" width="23.42578125" style="1" customWidth="1"/>
    <col min="1803" max="1803" width="24.140625" style="1" bestFit="1" customWidth="1"/>
    <col min="1804" max="1806" width="22.5703125" style="1" customWidth="1"/>
    <col min="1807" max="1807" width="22.5703125" style="1" bestFit="1" customWidth="1"/>
    <col min="1808" max="1808" width="23.7109375" style="1" bestFit="1" customWidth="1"/>
    <col min="1809" max="1809" width="9.140625" style="1"/>
    <col min="1810" max="1810" width="96.7109375" style="1" bestFit="1" customWidth="1"/>
    <col min="1811" max="1811" width="9.140625" style="1"/>
    <col min="1812" max="1819" width="8.5703125" style="1" bestFit="1" customWidth="1"/>
    <col min="1820" max="1821" width="10" style="1" bestFit="1" customWidth="1"/>
    <col min="1822" max="2050" width="9.140625" style="1"/>
    <col min="2051" max="2051" width="89.85546875" style="1" customWidth="1"/>
    <col min="2052" max="2052" width="27.7109375" style="1" customWidth="1"/>
    <col min="2053" max="2053" width="25.7109375" style="1" customWidth="1"/>
    <col min="2054" max="2054" width="23.7109375" style="1" customWidth="1"/>
    <col min="2055" max="2055" width="24.140625" style="1" customWidth="1"/>
    <col min="2056" max="2056" width="23.7109375" style="1" customWidth="1"/>
    <col min="2057" max="2057" width="24.140625" style="1" customWidth="1"/>
    <col min="2058" max="2058" width="23.42578125" style="1" customWidth="1"/>
    <col min="2059" max="2059" width="24.140625" style="1" bestFit="1" customWidth="1"/>
    <col min="2060" max="2062" width="22.5703125" style="1" customWidth="1"/>
    <col min="2063" max="2063" width="22.5703125" style="1" bestFit="1" customWidth="1"/>
    <col min="2064" max="2064" width="23.7109375" style="1" bestFit="1" customWidth="1"/>
    <col min="2065" max="2065" width="9.140625" style="1"/>
    <col min="2066" max="2066" width="96.7109375" style="1" bestFit="1" customWidth="1"/>
    <col min="2067" max="2067" width="9.140625" style="1"/>
    <col min="2068" max="2075" width="8.5703125" style="1" bestFit="1" customWidth="1"/>
    <col min="2076" max="2077" width="10" style="1" bestFit="1" customWidth="1"/>
    <col min="2078" max="2306" width="9.140625" style="1"/>
    <col min="2307" max="2307" width="89.85546875" style="1" customWidth="1"/>
    <col min="2308" max="2308" width="27.7109375" style="1" customWidth="1"/>
    <col min="2309" max="2309" width="25.7109375" style="1" customWidth="1"/>
    <col min="2310" max="2310" width="23.7109375" style="1" customWidth="1"/>
    <col min="2311" max="2311" width="24.140625" style="1" customWidth="1"/>
    <col min="2312" max="2312" width="23.7109375" style="1" customWidth="1"/>
    <col min="2313" max="2313" width="24.140625" style="1" customWidth="1"/>
    <col min="2314" max="2314" width="23.42578125" style="1" customWidth="1"/>
    <col min="2315" max="2315" width="24.140625" style="1" bestFit="1" customWidth="1"/>
    <col min="2316" max="2318" width="22.5703125" style="1" customWidth="1"/>
    <col min="2319" max="2319" width="22.5703125" style="1" bestFit="1" customWidth="1"/>
    <col min="2320" max="2320" width="23.7109375" style="1" bestFit="1" customWidth="1"/>
    <col min="2321" max="2321" width="9.140625" style="1"/>
    <col min="2322" max="2322" width="96.7109375" style="1" bestFit="1" customWidth="1"/>
    <col min="2323" max="2323" width="9.140625" style="1"/>
    <col min="2324" max="2331" width="8.5703125" style="1" bestFit="1" customWidth="1"/>
    <col min="2332" max="2333" width="10" style="1" bestFit="1" customWidth="1"/>
    <col min="2334" max="2562" width="9.140625" style="1"/>
    <col min="2563" max="2563" width="89.85546875" style="1" customWidth="1"/>
    <col min="2564" max="2564" width="27.7109375" style="1" customWidth="1"/>
    <col min="2565" max="2565" width="25.7109375" style="1" customWidth="1"/>
    <col min="2566" max="2566" width="23.7109375" style="1" customWidth="1"/>
    <col min="2567" max="2567" width="24.140625" style="1" customWidth="1"/>
    <col min="2568" max="2568" width="23.7109375" style="1" customWidth="1"/>
    <col min="2569" max="2569" width="24.140625" style="1" customWidth="1"/>
    <col min="2570" max="2570" width="23.42578125" style="1" customWidth="1"/>
    <col min="2571" max="2571" width="24.140625" style="1" bestFit="1" customWidth="1"/>
    <col min="2572" max="2574" width="22.5703125" style="1" customWidth="1"/>
    <col min="2575" max="2575" width="22.5703125" style="1" bestFit="1" customWidth="1"/>
    <col min="2576" max="2576" width="23.7109375" style="1" bestFit="1" customWidth="1"/>
    <col min="2577" max="2577" width="9.140625" style="1"/>
    <col min="2578" max="2578" width="96.7109375" style="1" bestFit="1" customWidth="1"/>
    <col min="2579" max="2579" width="9.140625" style="1"/>
    <col min="2580" max="2587" width="8.5703125" style="1" bestFit="1" customWidth="1"/>
    <col min="2588" max="2589" width="10" style="1" bestFit="1" customWidth="1"/>
    <col min="2590" max="2818" width="9.140625" style="1"/>
    <col min="2819" max="2819" width="89.85546875" style="1" customWidth="1"/>
    <col min="2820" max="2820" width="27.7109375" style="1" customWidth="1"/>
    <col min="2821" max="2821" width="25.7109375" style="1" customWidth="1"/>
    <col min="2822" max="2822" width="23.7109375" style="1" customWidth="1"/>
    <col min="2823" max="2823" width="24.140625" style="1" customWidth="1"/>
    <col min="2824" max="2824" width="23.7109375" style="1" customWidth="1"/>
    <col min="2825" max="2825" width="24.140625" style="1" customWidth="1"/>
    <col min="2826" max="2826" width="23.42578125" style="1" customWidth="1"/>
    <col min="2827" max="2827" width="24.140625" style="1" bestFit="1" customWidth="1"/>
    <col min="2828" max="2830" width="22.5703125" style="1" customWidth="1"/>
    <col min="2831" max="2831" width="22.5703125" style="1" bestFit="1" customWidth="1"/>
    <col min="2832" max="2832" width="23.7109375" style="1" bestFit="1" customWidth="1"/>
    <col min="2833" max="2833" width="9.140625" style="1"/>
    <col min="2834" max="2834" width="96.7109375" style="1" bestFit="1" customWidth="1"/>
    <col min="2835" max="2835" width="9.140625" style="1"/>
    <col min="2836" max="2843" width="8.5703125" style="1" bestFit="1" customWidth="1"/>
    <col min="2844" max="2845" width="10" style="1" bestFit="1" customWidth="1"/>
    <col min="2846" max="3074" width="9.140625" style="1"/>
    <col min="3075" max="3075" width="89.85546875" style="1" customWidth="1"/>
    <col min="3076" max="3076" width="27.7109375" style="1" customWidth="1"/>
    <col min="3077" max="3077" width="25.7109375" style="1" customWidth="1"/>
    <col min="3078" max="3078" width="23.7109375" style="1" customWidth="1"/>
    <col min="3079" max="3079" width="24.140625" style="1" customWidth="1"/>
    <col min="3080" max="3080" width="23.7109375" style="1" customWidth="1"/>
    <col min="3081" max="3081" width="24.140625" style="1" customWidth="1"/>
    <col min="3082" max="3082" width="23.42578125" style="1" customWidth="1"/>
    <col min="3083" max="3083" width="24.140625" style="1" bestFit="1" customWidth="1"/>
    <col min="3084" max="3086" width="22.5703125" style="1" customWidth="1"/>
    <col min="3087" max="3087" width="22.5703125" style="1" bestFit="1" customWidth="1"/>
    <col min="3088" max="3088" width="23.7109375" style="1" bestFit="1" customWidth="1"/>
    <col min="3089" max="3089" width="9.140625" style="1"/>
    <col min="3090" max="3090" width="96.7109375" style="1" bestFit="1" customWidth="1"/>
    <col min="3091" max="3091" width="9.140625" style="1"/>
    <col min="3092" max="3099" width="8.5703125" style="1" bestFit="1" customWidth="1"/>
    <col min="3100" max="3101" width="10" style="1" bestFit="1" customWidth="1"/>
    <col min="3102" max="3330" width="9.140625" style="1"/>
    <col min="3331" max="3331" width="89.85546875" style="1" customWidth="1"/>
    <col min="3332" max="3332" width="27.7109375" style="1" customWidth="1"/>
    <col min="3333" max="3333" width="25.7109375" style="1" customWidth="1"/>
    <col min="3334" max="3334" width="23.7109375" style="1" customWidth="1"/>
    <col min="3335" max="3335" width="24.140625" style="1" customWidth="1"/>
    <col min="3336" max="3336" width="23.7109375" style="1" customWidth="1"/>
    <col min="3337" max="3337" width="24.140625" style="1" customWidth="1"/>
    <col min="3338" max="3338" width="23.42578125" style="1" customWidth="1"/>
    <col min="3339" max="3339" width="24.140625" style="1" bestFit="1" customWidth="1"/>
    <col min="3340" max="3342" width="22.5703125" style="1" customWidth="1"/>
    <col min="3343" max="3343" width="22.5703125" style="1" bestFit="1" customWidth="1"/>
    <col min="3344" max="3344" width="23.7109375" style="1" bestFit="1" customWidth="1"/>
    <col min="3345" max="3345" width="9.140625" style="1"/>
    <col min="3346" max="3346" width="96.7109375" style="1" bestFit="1" customWidth="1"/>
    <col min="3347" max="3347" width="9.140625" style="1"/>
    <col min="3348" max="3355" width="8.5703125" style="1" bestFit="1" customWidth="1"/>
    <col min="3356" max="3357" width="10" style="1" bestFit="1" customWidth="1"/>
    <col min="3358" max="3586" width="9.140625" style="1"/>
    <col min="3587" max="3587" width="89.85546875" style="1" customWidth="1"/>
    <col min="3588" max="3588" width="27.7109375" style="1" customWidth="1"/>
    <col min="3589" max="3589" width="25.7109375" style="1" customWidth="1"/>
    <col min="3590" max="3590" width="23.7109375" style="1" customWidth="1"/>
    <col min="3591" max="3591" width="24.140625" style="1" customWidth="1"/>
    <col min="3592" max="3592" width="23.7109375" style="1" customWidth="1"/>
    <col min="3593" max="3593" width="24.140625" style="1" customWidth="1"/>
    <col min="3594" max="3594" width="23.42578125" style="1" customWidth="1"/>
    <col min="3595" max="3595" width="24.140625" style="1" bestFit="1" customWidth="1"/>
    <col min="3596" max="3598" width="22.5703125" style="1" customWidth="1"/>
    <col min="3599" max="3599" width="22.5703125" style="1" bestFit="1" customWidth="1"/>
    <col min="3600" max="3600" width="23.7109375" style="1" bestFit="1" customWidth="1"/>
    <col min="3601" max="3601" width="9.140625" style="1"/>
    <col min="3602" max="3602" width="96.7109375" style="1" bestFit="1" customWidth="1"/>
    <col min="3603" max="3603" width="9.140625" style="1"/>
    <col min="3604" max="3611" width="8.5703125" style="1" bestFit="1" customWidth="1"/>
    <col min="3612" max="3613" width="10" style="1" bestFit="1" customWidth="1"/>
    <col min="3614" max="3842" width="9.140625" style="1"/>
    <col min="3843" max="3843" width="89.85546875" style="1" customWidth="1"/>
    <col min="3844" max="3844" width="27.7109375" style="1" customWidth="1"/>
    <col min="3845" max="3845" width="25.7109375" style="1" customWidth="1"/>
    <col min="3846" max="3846" width="23.7109375" style="1" customWidth="1"/>
    <col min="3847" max="3847" width="24.140625" style="1" customWidth="1"/>
    <col min="3848" max="3848" width="23.7109375" style="1" customWidth="1"/>
    <col min="3849" max="3849" width="24.140625" style="1" customWidth="1"/>
    <col min="3850" max="3850" width="23.42578125" style="1" customWidth="1"/>
    <col min="3851" max="3851" width="24.140625" style="1" bestFit="1" customWidth="1"/>
    <col min="3852" max="3854" width="22.5703125" style="1" customWidth="1"/>
    <col min="3855" max="3855" width="22.5703125" style="1" bestFit="1" customWidth="1"/>
    <col min="3856" max="3856" width="23.7109375" style="1" bestFit="1" customWidth="1"/>
    <col min="3857" max="3857" width="9.140625" style="1"/>
    <col min="3858" max="3858" width="96.7109375" style="1" bestFit="1" customWidth="1"/>
    <col min="3859" max="3859" width="9.140625" style="1"/>
    <col min="3860" max="3867" width="8.5703125" style="1" bestFit="1" customWidth="1"/>
    <col min="3868" max="3869" width="10" style="1" bestFit="1" customWidth="1"/>
    <col min="3870" max="4098" width="9.140625" style="1"/>
    <col min="4099" max="4099" width="89.85546875" style="1" customWidth="1"/>
    <col min="4100" max="4100" width="27.7109375" style="1" customWidth="1"/>
    <col min="4101" max="4101" width="25.7109375" style="1" customWidth="1"/>
    <col min="4102" max="4102" width="23.7109375" style="1" customWidth="1"/>
    <col min="4103" max="4103" width="24.140625" style="1" customWidth="1"/>
    <col min="4104" max="4104" width="23.7109375" style="1" customWidth="1"/>
    <col min="4105" max="4105" width="24.140625" style="1" customWidth="1"/>
    <col min="4106" max="4106" width="23.42578125" style="1" customWidth="1"/>
    <col min="4107" max="4107" width="24.140625" style="1" bestFit="1" customWidth="1"/>
    <col min="4108" max="4110" width="22.5703125" style="1" customWidth="1"/>
    <col min="4111" max="4111" width="22.5703125" style="1" bestFit="1" customWidth="1"/>
    <col min="4112" max="4112" width="23.7109375" style="1" bestFit="1" customWidth="1"/>
    <col min="4113" max="4113" width="9.140625" style="1"/>
    <col min="4114" max="4114" width="96.7109375" style="1" bestFit="1" customWidth="1"/>
    <col min="4115" max="4115" width="9.140625" style="1"/>
    <col min="4116" max="4123" width="8.5703125" style="1" bestFit="1" customWidth="1"/>
    <col min="4124" max="4125" width="10" style="1" bestFit="1" customWidth="1"/>
    <col min="4126" max="4354" width="9.140625" style="1"/>
    <col min="4355" max="4355" width="89.85546875" style="1" customWidth="1"/>
    <col min="4356" max="4356" width="27.7109375" style="1" customWidth="1"/>
    <col min="4357" max="4357" width="25.7109375" style="1" customWidth="1"/>
    <col min="4358" max="4358" width="23.7109375" style="1" customWidth="1"/>
    <col min="4359" max="4359" width="24.140625" style="1" customWidth="1"/>
    <col min="4360" max="4360" width="23.7109375" style="1" customWidth="1"/>
    <col min="4361" max="4361" width="24.140625" style="1" customWidth="1"/>
    <col min="4362" max="4362" width="23.42578125" style="1" customWidth="1"/>
    <col min="4363" max="4363" width="24.140625" style="1" bestFit="1" customWidth="1"/>
    <col min="4364" max="4366" width="22.5703125" style="1" customWidth="1"/>
    <col min="4367" max="4367" width="22.5703125" style="1" bestFit="1" customWidth="1"/>
    <col min="4368" max="4368" width="23.7109375" style="1" bestFit="1" customWidth="1"/>
    <col min="4369" max="4369" width="9.140625" style="1"/>
    <col min="4370" max="4370" width="96.7109375" style="1" bestFit="1" customWidth="1"/>
    <col min="4371" max="4371" width="9.140625" style="1"/>
    <col min="4372" max="4379" width="8.5703125" style="1" bestFit="1" customWidth="1"/>
    <col min="4380" max="4381" width="10" style="1" bestFit="1" customWidth="1"/>
    <col min="4382" max="4610" width="9.140625" style="1"/>
    <col min="4611" max="4611" width="89.85546875" style="1" customWidth="1"/>
    <col min="4612" max="4612" width="27.7109375" style="1" customWidth="1"/>
    <col min="4613" max="4613" width="25.7109375" style="1" customWidth="1"/>
    <col min="4614" max="4614" width="23.7109375" style="1" customWidth="1"/>
    <col min="4615" max="4615" width="24.140625" style="1" customWidth="1"/>
    <col min="4616" max="4616" width="23.7109375" style="1" customWidth="1"/>
    <col min="4617" max="4617" width="24.140625" style="1" customWidth="1"/>
    <col min="4618" max="4618" width="23.42578125" style="1" customWidth="1"/>
    <col min="4619" max="4619" width="24.140625" style="1" bestFit="1" customWidth="1"/>
    <col min="4620" max="4622" width="22.5703125" style="1" customWidth="1"/>
    <col min="4623" max="4623" width="22.5703125" style="1" bestFit="1" customWidth="1"/>
    <col min="4624" max="4624" width="23.7109375" style="1" bestFit="1" customWidth="1"/>
    <col min="4625" max="4625" width="9.140625" style="1"/>
    <col min="4626" max="4626" width="96.7109375" style="1" bestFit="1" customWidth="1"/>
    <col min="4627" max="4627" width="9.140625" style="1"/>
    <col min="4628" max="4635" width="8.5703125" style="1" bestFit="1" customWidth="1"/>
    <col min="4636" max="4637" width="10" style="1" bestFit="1" customWidth="1"/>
    <col min="4638" max="4866" width="9.140625" style="1"/>
    <col min="4867" max="4867" width="89.85546875" style="1" customWidth="1"/>
    <col min="4868" max="4868" width="27.7109375" style="1" customWidth="1"/>
    <col min="4869" max="4869" width="25.7109375" style="1" customWidth="1"/>
    <col min="4870" max="4870" width="23.7109375" style="1" customWidth="1"/>
    <col min="4871" max="4871" width="24.140625" style="1" customWidth="1"/>
    <col min="4872" max="4872" width="23.7109375" style="1" customWidth="1"/>
    <col min="4873" max="4873" width="24.140625" style="1" customWidth="1"/>
    <col min="4874" max="4874" width="23.42578125" style="1" customWidth="1"/>
    <col min="4875" max="4875" width="24.140625" style="1" bestFit="1" customWidth="1"/>
    <col min="4876" max="4878" width="22.5703125" style="1" customWidth="1"/>
    <col min="4879" max="4879" width="22.5703125" style="1" bestFit="1" customWidth="1"/>
    <col min="4880" max="4880" width="23.7109375" style="1" bestFit="1" customWidth="1"/>
    <col min="4881" max="4881" width="9.140625" style="1"/>
    <col min="4882" max="4882" width="96.7109375" style="1" bestFit="1" customWidth="1"/>
    <col min="4883" max="4883" width="9.140625" style="1"/>
    <col min="4884" max="4891" width="8.5703125" style="1" bestFit="1" customWidth="1"/>
    <col min="4892" max="4893" width="10" style="1" bestFit="1" customWidth="1"/>
    <col min="4894" max="5122" width="9.140625" style="1"/>
    <col min="5123" max="5123" width="89.85546875" style="1" customWidth="1"/>
    <col min="5124" max="5124" width="27.7109375" style="1" customWidth="1"/>
    <col min="5125" max="5125" width="25.7109375" style="1" customWidth="1"/>
    <col min="5126" max="5126" width="23.7109375" style="1" customWidth="1"/>
    <col min="5127" max="5127" width="24.140625" style="1" customWidth="1"/>
    <col min="5128" max="5128" width="23.7109375" style="1" customWidth="1"/>
    <col min="5129" max="5129" width="24.140625" style="1" customWidth="1"/>
    <col min="5130" max="5130" width="23.42578125" style="1" customWidth="1"/>
    <col min="5131" max="5131" width="24.140625" style="1" bestFit="1" customWidth="1"/>
    <col min="5132" max="5134" width="22.5703125" style="1" customWidth="1"/>
    <col min="5135" max="5135" width="22.5703125" style="1" bestFit="1" customWidth="1"/>
    <col min="5136" max="5136" width="23.7109375" style="1" bestFit="1" customWidth="1"/>
    <col min="5137" max="5137" width="9.140625" style="1"/>
    <col min="5138" max="5138" width="96.7109375" style="1" bestFit="1" customWidth="1"/>
    <col min="5139" max="5139" width="9.140625" style="1"/>
    <col min="5140" max="5147" width="8.5703125" style="1" bestFit="1" customWidth="1"/>
    <col min="5148" max="5149" width="10" style="1" bestFit="1" customWidth="1"/>
    <col min="5150" max="5378" width="9.140625" style="1"/>
    <col min="5379" max="5379" width="89.85546875" style="1" customWidth="1"/>
    <col min="5380" max="5380" width="27.7109375" style="1" customWidth="1"/>
    <col min="5381" max="5381" width="25.7109375" style="1" customWidth="1"/>
    <col min="5382" max="5382" width="23.7109375" style="1" customWidth="1"/>
    <col min="5383" max="5383" width="24.140625" style="1" customWidth="1"/>
    <col min="5384" max="5384" width="23.7109375" style="1" customWidth="1"/>
    <col min="5385" max="5385" width="24.140625" style="1" customWidth="1"/>
    <col min="5386" max="5386" width="23.42578125" style="1" customWidth="1"/>
    <col min="5387" max="5387" width="24.140625" style="1" bestFit="1" customWidth="1"/>
    <col min="5388" max="5390" width="22.5703125" style="1" customWidth="1"/>
    <col min="5391" max="5391" width="22.5703125" style="1" bestFit="1" customWidth="1"/>
    <col min="5392" max="5392" width="23.7109375" style="1" bestFit="1" customWidth="1"/>
    <col min="5393" max="5393" width="9.140625" style="1"/>
    <col min="5394" max="5394" width="96.7109375" style="1" bestFit="1" customWidth="1"/>
    <col min="5395" max="5395" width="9.140625" style="1"/>
    <col min="5396" max="5403" width="8.5703125" style="1" bestFit="1" customWidth="1"/>
    <col min="5404" max="5405" width="10" style="1" bestFit="1" customWidth="1"/>
    <col min="5406" max="5634" width="9.140625" style="1"/>
    <col min="5635" max="5635" width="89.85546875" style="1" customWidth="1"/>
    <col min="5636" max="5636" width="27.7109375" style="1" customWidth="1"/>
    <col min="5637" max="5637" width="25.7109375" style="1" customWidth="1"/>
    <col min="5638" max="5638" width="23.7109375" style="1" customWidth="1"/>
    <col min="5639" max="5639" width="24.140625" style="1" customWidth="1"/>
    <col min="5640" max="5640" width="23.7109375" style="1" customWidth="1"/>
    <col min="5641" max="5641" width="24.140625" style="1" customWidth="1"/>
    <col min="5642" max="5642" width="23.42578125" style="1" customWidth="1"/>
    <col min="5643" max="5643" width="24.140625" style="1" bestFit="1" customWidth="1"/>
    <col min="5644" max="5646" width="22.5703125" style="1" customWidth="1"/>
    <col min="5647" max="5647" width="22.5703125" style="1" bestFit="1" customWidth="1"/>
    <col min="5648" max="5648" width="23.7109375" style="1" bestFit="1" customWidth="1"/>
    <col min="5649" max="5649" width="9.140625" style="1"/>
    <col min="5650" max="5650" width="96.7109375" style="1" bestFit="1" customWidth="1"/>
    <col min="5651" max="5651" width="9.140625" style="1"/>
    <col min="5652" max="5659" width="8.5703125" style="1" bestFit="1" customWidth="1"/>
    <col min="5660" max="5661" width="10" style="1" bestFit="1" customWidth="1"/>
    <col min="5662" max="5890" width="9.140625" style="1"/>
    <col min="5891" max="5891" width="89.85546875" style="1" customWidth="1"/>
    <col min="5892" max="5892" width="27.7109375" style="1" customWidth="1"/>
    <col min="5893" max="5893" width="25.7109375" style="1" customWidth="1"/>
    <col min="5894" max="5894" width="23.7109375" style="1" customWidth="1"/>
    <col min="5895" max="5895" width="24.140625" style="1" customWidth="1"/>
    <col min="5896" max="5896" width="23.7109375" style="1" customWidth="1"/>
    <col min="5897" max="5897" width="24.140625" style="1" customWidth="1"/>
    <col min="5898" max="5898" width="23.42578125" style="1" customWidth="1"/>
    <col min="5899" max="5899" width="24.140625" style="1" bestFit="1" customWidth="1"/>
    <col min="5900" max="5902" width="22.5703125" style="1" customWidth="1"/>
    <col min="5903" max="5903" width="22.5703125" style="1" bestFit="1" customWidth="1"/>
    <col min="5904" max="5904" width="23.7109375" style="1" bestFit="1" customWidth="1"/>
    <col min="5905" max="5905" width="9.140625" style="1"/>
    <col min="5906" max="5906" width="96.7109375" style="1" bestFit="1" customWidth="1"/>
    <col min="5907" max="5907" width="9.140625" style="1"/>
    <col min="5908" max="5915" width="8.5703125" style="1" bestFit="1" customWidth="1"/>
    <col min="5916" max="5917" width="10" style="1" bestFit="1" customWidth="1"/>
    <col min="5918" max="6146" width="9.140625" style="1"/>
    <col min="6147" max="6147" width="89.85546875" style="1" customWidth="1"/>
    <col min="6148" max="6148" width="27.7109375" style="1" customWidth="1"/>
    <col min="6149" max="6149" width="25.7109375" style="1" customWidth="1"/>
    <col min="6150" max="6150" width="23.7109375" style="1" customWidth="1"/>
    <col min="6151" max="6151" width="24.140625" style="1" customWidth="1"/>
    <col min="6152" max="6152" width="23.7109375" style="1" customWidth="1"/>
    <col min="6153" max="6153" width="24.140625" style="1" customWidth="1"/>
    <col min="6154" max="6154" width="23.42578125" style="1" customWidth="1"/>
    <col min="6155" max="6155" width="24.140625" style="1" bestFit="1" customWidth="1"/>
    <col min="6156" max="6158" width="22.5703125" style="1" customWidth="1"/>
    <col min="6159" max="6159" width="22.5703125" style="1" bestFit="1" customWidth="1"/>
    <col min="6160" max="6160" width="23.7109375" style="1" bestFit="1" customWidth="1"/>
    <col min="6161" max="6161" width="9.140625" style="1"/>
    <col min="6162" max="6162" width="96.7109375" style="1" bestFit="1" customWidth="1"/>
    <col min="6163" max="6163" width="9.140625" style="1"/>
    <col min="6164" max="6171" width="8.5703125" style="1" bestFit="1" customWidth="1"/>
    <col min="6172" max="6173" width="10" style="1" bestFit="1" customWidth="1"/>
    <col min="6174" max="6402" width="9.140625" style="1"/>
    <col min="6403" max="6403" width="89.85546875" style="1" customWidth="1"/>
    <col min="6404" max="6404" width="27.7109375" style="1" customWidth="1"/>
    <col min="6405" max="6405" width="25.7109375" style="1" customWidth="1"/>
    <col min="6406" max="6406" width="23.7109375" style="1" customWidth="1"/>
    <col min="6407" max="6407" width="24.140625" style="1" customWidth="1"/>
    <col min="6408" max="6408" width="23.7109375" style="1" customWidth="1"/>
    <col min="6409" max="6409" width="24.140625" style="1" customWidth="1"/>
    <col min="6410" max="6410" width="23.42578125" style="1" customWidth="1"/>
    <col min="6411" max="6411" width="24.140625" style="1" bestFit="1" customWidth="1"/>
    <col min="6412" max="6414" width="22.5703125" style="1" customWidth="1"/>
    <col min="6415" max="6415" width="22.5703125" style="1" bestFit="1" customWidth="1"/>
    <col min="6416" max="6416" width="23.7109375" style="1" bestFit="1" customWidth="1"/>
    <col min="6417" max="6417" width="9.140625" style="1"/>
    <col min="6418" max="6418" width="96.7109375" style="1" bestFit="1" customWidth="1"/>
    <col min="6419" max="6419" width="9.140625" style="1"/>
    <col min="6420" max="6427" width="8.5703125" style="1" bestFit="1" customWidth="1"/>
    <col min="6428" max="6429" width="10" style="1" bestFit="1" customWidth="1"/>
    <col min="6430" max="6658" width="9.140625" style="1"/>
    <col min="6659" max="6659" width="89.85546875" style="1" customWidth="1"/>
    <col min="6660" max="6660" width="27.7109375" style="1" customWidth="1"/>
    <col min="6661" max="6661" width="25.7109375" style="1" customWidth="1"/>
    <col min="6662" max="6662" width="23.7109375" style="1" customWidth="1"/>
    <col min="6663" max="6663" width="24.140625" style="1" customWidth="1"/>
    <col min="6664" max="6664" width="23.7109375" style="1" customWidth="1"/>
    <col min="6665" max="6665" width="24.140625" style="1" customWidth="1"/>
    <col min="6666" max="6666" width="23.42578125" style="1" customWidth="1"/>
    <col min="6667" max="6667" width="24.140625" style="1" bestFit="1" customWidth="1"/>
    <col min="6668" max="6670" width="22.5703125" style="1" customWidth="1"/>
    <col min="6671" max="6671" width="22.5703125" style="1" bestFit="1" customWidth="1"/>
    <col min="6672" max="6672" width="23.7109375" style="1" bestFit="1" customWidth="1"/>
    <col min="6673" max="6673" width="9.140625" style="1"/>
    <col min="6674" max="6674" width="96.7109375" style="1" bestFit="1" customWidth="1"/>
    <col min="6675" max="6675" width="9.140625" style="1"/>
    <col min="6676" max="6683" width="8.5703125" style="1" bestFit="1" customWidth="1"/>
    <col min="6684" max="6685" width="10" style="1" bestFit="1" customWidth="1"/>
    <col min="6686" max="6914" width="9.140625" style="1"/>
    <col min="6915" max="6915" width="89.85546875" style="1" customWidth="1"/>
    <col min="6916" max="6916" width="27.7109375" style="1" customWidth="1"/>
    <col min="6917" max="6917" width="25.7109375" style="1" customWidth="1"/>
    <col min="6918" max="6918" width="23.7109375" style="1" customWidth="1"/>
    <col min="6919" max="6919" width="24.140625" style="1" customWidth="1"/>
    <col min="6920" max="6920" width="23.7109375" style="1" customWidth="1"/>
    <col min="6921" max="6921" width="24.140625" style="1" customWidth="1"/>
    <col min="6922" max="6922" width="23.42578125" style="1" customWidth="1"/>
    <col min="6923" max="6923" width="24.140625" style="1" bestFit="1" customWidth="1"/>
    <col min="6924" max="6926" width="22.5703125" style="1" customWidth="1"/>
    <col min="6927" max="6927" width="22.5703125" style="1" bestFit="1" customWidth="1"/>
    <col min="6928" max="6928" width="23.7109375" style="1" bestFit="1" customWidth="1"/>
    <col min="6929" max="6929" width="9.140625" style="1"/>
    <col min="6930" max="6930" width="96.7109375" style="1" bestFit="1" customWidth="1"/>
    <col min="6931" max="6931" width="9.140625" style="1"/>
    <col min="6932" max="6939" width="8.5703125" style="1" bestFit="1" customWidth="1"/>
    <col min="6940" max="6941" width="10" style="1" bestFit="1" customWidth="1"/>
    <col min="6942" max="7170" width="9.140625" style="1"/>
    <col min="7171" max="7171" width="89.85546875" style="1" customWidth="1"/>
    <col min="7172" max="7172" width="27.7109375" style="1" customWidth="1"/>
    <col min="7173" max="7173" width="25.7109375" style="1" customWidth="1"/>
    <col min="7174" max="7174" width="23.7109375" style="1" customWidth="1"/>
    <col min="7175" max="7175" width="24.140625" style="1" customWidth="1"/>
    <col min="7176" max="7176" width="23.7109375" style="1" customWidth="1"/>
    <col min="7177" max="7177" width="24.140625" style="1" customWidth="1"/>
    <col min="7178" max="7178" width="23.42578125" style="1" customWidth="1"/>
    <col min="7179" max="7179" width="24.140625" style="1" bestFit="1" customWidth="1"/>
    <col min="7180" max="7182" width="22.5703125" style="1" customWidth="1"/>
    <col min="7183" max="7183" width="22.5703125" style="1" bestFit="1" customWidth="1"/>
    <col min="7184" max="7184" width="23.7109375" style="1" bestFit="1" customWidth="1"/>
    <col min="7185" max="7185" width="9.140625" style="1"/>
    <col min="7186" max="7186" width="96.7109375" style="1" bestFit="1" customWidth="1"/>
    <col min="7187" max="7187" width="9.140625" style="1"/>
    <col min="7188" max="7195" width="8.5703125" style="1" bestFit="1" customWidth="1"/>
    <col min="7196" max="7197" width="10" style="1" bestFit="1" customWidth="1"/>
    <col min="7198" max="7426" width="9.140625" style="1"/>
    <col min="7427" max="7427" width="89.85546875" style="1" customWidth="1"/>
    <col min="7428" max="7428" width="27.7109375" style="1" customWidth="1"/>
    <col min="7429" max="7429" width="25.7109375" style="1" customWidth="1"/>
    <col min="7430" max="7430" width="23.7109375" style="1" customWidth="1"/>
    <col min="7431" max="7431" width="24.140625" style="1" customWidth="1"/>
    <col min="7432" max="7432" width="23.7109375" style="1" customWidth="1"/>
    <col min="7433" max="7433" width="24.140625" style="1" customWidth="1"/>
    <col min="7434" max="7434" width="23.42578125" style="1" customWidth="1"/>
    <col min="7435" max="7435" width="24.140625" style="1" bestFit="1" customWidth="1"/>
    <col min="7436" max="7438" width="22.5703125" style="1" customWidth="1"/>
    <col min="7439" max="7439" width="22.5703125" style="1" bestFit="1" customWidth="1"/>
    <col min="7440" max="7440" width="23.7109375" style="1" bestFit="1" customWidth="1"/>
    <col min="7441" max="7441" width="9.140625" style="1"/>
    <col min="7442" max="7442" width="96.7109375" style="1" bestFit="1" customWidth="1"/>
    <col min="7443" max="7443" width="9.140625" style="1"/>
    <col min="7444" max="7451" width="8.5703125" style="1" bestFit="1" customWidth="1"/>
    <col min="7452" max="7453" width="10" style="1" bestFit="1" customWidth="1"/>
    <col min="7454" max="7682" width="9.140625" style="1"/>
    <col min="7683" max="7683" width="89.85546875" style="1" customWidth="1"/>
    <col min="7684" max="7684" width="27.7109375" style="1" customWidth="1"/>
    <col min="7685" max="7685" width="25.7109375" style="1" customWidth="1"/>
    <col min="7686" max="7686" width="23.7109375" style="1" customWidth="1"/>
    <col min="7687" max="7687" width="24.140625" style="1" customWidth="1"/>
    <col min="7688" max="7688" width="23.7109375" style="1" customWidth="1"/>
    <col min="7689" max="7689" width="24.140625" style="1" customWidth="1"/>
    <col min="7690" max="7690" width="23.42578125" style="1" customWidth="1"/>
    <col min="7691" max="7691" width="24.140625" style="1" bestFit="1" customWidth="1"/>
    <col min="7692" max="7694" width="22.5703125" style="1" customWidth="1"/>
    <col min="7695" max="7695" width="22.5703125" style="1" bestFit="1" customWidth="1"/>
    <col min="7696" max="7696" width="23.7109375" style="1" bestFit="1" customWidth="1"/>
    <col min="7697" max="7697" width="9.140625" style="1"/>
    <col min="7698" max="7698" width="96.7109375" style="1" bestFit="1" customWidth="1"/>
    <col min="7699" max="7699" width="9.140625" style="1"/>
    <col min="7700" max="7707" width="8.5703125" style="1" bestFit="1" customWidth="1"/>
    <col min="7708" max="7709" width="10" style="1" bestFit="1" customWidth="1"/>
    <col min="7710" max="7938" width="9.140625" style="1"/>
    <col min="7939" max="7939" width="89.85546875" style="1" customWidth="1"/>
    <col min="7940" max="7940" width="27.7109375" style="1" customWidth="1"/>
    <col min="7941" max="7941" width="25.7109375" style="1" customWidth="1"/>
    <col min="7942" max="7942" width="23.7109375" style="1" customWidth="1"/>
    <col min="7943" max="7943" width="24.140625" style="1" customWidth="1"/>
    <col min="7944" max="7944" width="23.7109375" style="1" customWidth="1"/>
    <col min="7945" max="7945" width="24.140625" style="1" customWidth="1"/>
    <col min="7946" max="7946" width="23.42578125" style="1" customWidth="1"/>
    <col min="7947" max="7947" width="24.140625" style="1" bestFit="1" customWidth="1"/>
    <col min="7948" max="7950" width="22.5703125" style="1" customWidth="1"/>
    <col min="7951" max="7951" width="22.5703125" style="1" bestFit="1" customWidth="1"/>
    <col min="7952" max="7952" width="23.7109375" style="1" bestFit="1" customWidth="1"/>
    <col min="7953" max="7953" width="9.140625" style="1"/>
    <col min="7954" max="7954" width="96.7109375" style="1" bestFit="1" customWidth="1"/>
    <col min="7955" max="7955" width="9.140625" style="1"/>
    <col min="7956" max="7963" width="8.5703125" style="1" bestFit="1" customWidth="1"/>
    <col min="7964" max="7965" width="10" style="1" bestFit="1" customWidth="1"/>
    <col min="7966" max="8194" width="9.140625" style="1"/>
    <col min="8195" max="8195" width="89.85546875" style="1" customWidth="1"/>
    <col min="8196" max="8196" width="27.7109375" style="1" customWidth="1"/>
    <col min="8197" max="8197" width="25.7109375" style="1" customWidth="1"/>
    <col min="8198" max="8198" width="23.7109375" style="1" customWidth="1"/>
    <col min="8199" max="8199" width="24.140625" style="1" customWidth="1"/>
    <col min="8200" max="8200" width="23.7109375" style="1" customWidth="1"/>
    <col min="8201" max="8201" width="24.140625" style="1" customWidth="1"/>
    <col min="8202" max="8202" width="23.42578125" style="1" customWidth="1"/>
    <col min="8203" max="8203" width="24.140625" style="1" bestFit="1" customWidth="1"/>
    <col min="8204" max="8206" width="22.5703125" style="1" customWidth="1"/>
    <col min="8207" max="8207" width="22.5703125" style="1" bestFit="1" customWidth="1"/>
    <col min="8208" max="8208" width="23.7109375" style="1" bestFit="1" customWidth="1"/>
    <col min="8209" max="8209" width="9.140625" style="1"/>
    <col min="8210" max="8210" width="96.7109375" style="1" bestFit="1" customWidth="1"/>
    <col min="8211" max="8211" width="9.140625" style="1"/>
    <col min="8212" max="8219" width="8.5703125" style="1" bestFit="1" customWidth="1"/>
    <col min="8220" max="8221" width="10" style="1" bestFit="1" customWidth="1"/>
    <col min="8222" max="8450" width="9.140625" style="1"/>
    <col min="8451" max="8451" width="89.85546875" style="1" customWidth="1"/>
    <col min="8452" max="8452" width="27.7109375" style="1" customWidth="1"/>
    <col min="8453" max="8453" width="25.7109375" style="1" customWidth="1"/>
    <col min="8454" max="8454" width="23.7109375" style="1" customWidth="1"/>
    <col min="8455" max="8455" width="24.140625" style="1" customWidth="1"/>
    <col min="8456" max="8456" width="23.7109375" style="1" customWidth="1"/>
    <col min="8457" max="8457" width="24.140625" style="1" customWidth="1"/>
    <col min="8458" max="8458" width="23.42578125" style="1" customWidth="1"/>
    <col min="8459" max="8459" width="24.140625" style="1" bestFit="1" customWidth="1"/>
    <col min="8460" max="8462" width="22.5703125" style="1" customWidth="1"/>
    <col min="8463" max="8463" width="22.5703125" style="1" bestFit="1" customWidth="1"/>
    <col min="8464" max="8464" width="23.7109375" style="1" bestFit="1" customWidth="1"/>
    <col min="8465" max="8465" width="9.140625" style="1"/>
    <col min="8466" max="8466" width="96.7109375" style="1" bestFit="1" customWidth="1"/>
    <col min="8467" max="8467" width="9.140625" style="1"/>
    <col min="8468" max="8475" width="8.5703125" style="1" bestFit="1" customWidth="1"/>
    <col min="8476" max="8477" width="10" style="1" bestFit="1" customWidth="1"/>
    <col min="8478" max="8706" width="9.140625" style="1"/>
    <col min="8707" max="8707" width="89.85546875" style="1" customWidth="1"/>
    <col min="8708" max="8708" width="27.7109375" style="1" customWidth="1"/>
    <col min="8709" max="8709" width="25.7109375" style="1" customWidth="1"/>
    <col min="8710" max="8710" width="23.7109375" style="1" customWidth="1"/>
    <col min="8711" max="8711" width="24.140625" style="1" customWidth="1"/>
    <col min="8712" max="8712" width="23.7109375" style="1" customWidth="1"/>
    <col min="8713" max="8713" width="24.140625" style="1" customWidth="1"/>
    <col min="8714" max="8714" width="23.42578125" style="1" customWidth="1"/>
    <col min="8715" max="8715" width="24.140625" style="1" bestFit="1" customWidth="1"/>
    <col min="8716" max="8718" width="22.5703125" style="1" customWidth="1"/>
    <col min="8719" max="8719" width="22.5703125" style="1" bestFit="1" customWidth="1"/>
    <col min="8720" max="8720" width="23.7109375" style="1" bestFit="1" customWidth="1"/>
    <col min="8721" max="8721" width="9.140625" style="1"/>
    <col min="8722" max="8722" width="96.7109375" style="1" bestFit="1" customWidth="1"/>
    <col min="8723" max="8723" width="9.140625" style="1"/>
    <col min="8724" max="8731" width="8.5703125" style="1" bestFit="1" customWidth="1"/>
    <col min="8732" max="8733" width="10" style="1" bestFit="1" customWidth="1"/>
    <col min="8734" max="8962" width="9.140625" style="1"/>
    <col min="8963" max="8963" width="89.85546875" style="1" customWidth="1"/>
    <col min="8964" max="8964" width="27.7109375" style="1" customWidth="1"/>
    <col min="8965" max="8965" width="25.7109375" style="1" customWidth="1"/>
    <col min="8966" max="8966" width="23.7109375" style="1" customWidth="1"/>
    <col min="8967" max="8967" width="24.140625" style="1" customWidth="1"/>
    <col min="8968" max="8968" width="23.7109375" style="1" customWidth="1"/>
    <col min="8969" max="8969" width="24.140625" style="1" customWidth="1"/>
    <col min="8970" max="8970" width="23.42578125" style="1" customWidth="1"/>
    <col min="8971" max="8971" width="24.140625" style="1" bestFit="1" customWidth="1"/>
    <col min="8972" max="8974" width="22.5703125" style="1" customWidth="1"/>
    <col min="8975" max="8975" width="22.5703125" style="1" bestFit="1" customWidth="1"/>
    <col min="8976" max="8976" width="23.7109375" style="1" bestFit="1" customWidth="1"/>
    <col min="8977" max="8977" width="9.140625" style="1"/>
    <col min="8978" max="8978" width="96.7109375" style="1" bestFit="1" customWidth="1"/>
    <col min="8979" max="8979" width="9.140625" style="1"/>
    <col min="8980" max="8987" width="8.5703125" style="1" bestFit="1" customWidth="1"/>
    <col min="8988" max="8989" width="10" style="1" bestFit="1" customWidth="1"/>
    <col min="8990" max="9218" width="9.140625" style="1"/>
    <col min="9219" max="9219" width="89.85546875" style="1" customWidth="1"/>
    <col min="9220" max="9220" width="27.7109375" style="1" customWidth="1"/>
    <col min="9221" max="9221" width="25.7109375" style="1" customWidth="1"/>
    <col min="9222" max="9222" width="23.7109375" style="1" customWidth="1"/>
    <col min="9223" max="9223" width="24.140625" style="1" customWidth="1"/>
    <col min="9224" max="9224" width="23.7109375" style="1" customWidth="1"/>
    <col min="9225" max="9225" width="24.140625" style="1" customWidth="1"/>
    <col min="9226" max="9226" width="23.42578125" style="1" customWidth="1"/>
    <col min="9227" max="9227" width="24.140625" style="1" bestFit="1" customWidth="1"/>
    <col min="9228" max="9230" width="22.5703125" style="1" customWidth="1"/>
    <col min="9231" max="9231" width="22.5703125" style="1" bestFit="1" customWidth="1"/>
    <col min="9232" max="9232" width="23.7109375" style="1" bestFit="1" customWidth="1"/>
    <col min="9233" max="9233" width="9.140625" style="1"/>
    <col min="9234" max="9234" width="96.7109375" style="1" bestFit="1" customWidth="1"/>
    <col min="9235" max="9235" width="9.140625" style="1"/>
    <col min="9236" max="9243" width="8.5703125" style="1" bestFit="1" customWidth="1"/>
    <col min="9244" max="9245" width="10" style="1" bestFit="1" customWidth="1"/>
    <col min="9246" max="9474" width="9.140625" style="1"/>
    <col min="9475" max="9475" width="89.85546875" style="1" customWidth="1"/>
    <col min="9476" max="9476" width="27.7109375" style="1" customWidth="1"/>
    <col min="9477" max="9477" width="25.7109375" style="1" customWidth="1"/>
    <col min="9478" max="9478" width="23.7109375" style="1" customWidth="1"/>
    <col min="9479" max="9479" width="24.140625" style="1" customWidth="1"/>
    <col min="9480" max="9480" width="23.7109375" style="1" customWidth="1"/>
    <col min="9481" max="9481" width="24.140625" style="1" customWidth="1"/>
    <col min="9482" max="9482" width="23.42578125" style="1" customWidth="1"/>
    <col min="9483" max="9483" width="24.140625" style="1" bestFit="1" customWidth="1"/>
    <col min="9484" max="9486" width="22.5703125" style="1" customWidth="1"/>
    <col min="9487" max="9487" width="22.5703125" style="1" bestFit="1" customWidth="1"/>
    <col min="9488" max="9488" width="23.7109375" style="1" bestFit="1" customWidth="1"/>
    <col min="9489" max="9489" width="9.140625" style="1"/>
    <col min="9490" max="9490" width="96.7109375" style="1" bestFit="1" customWidth="1"/>
    <col min="9491" max="9491" width="9.140625" style="1"/>
    <col min="9492" max="9499" width="8.5703125" style="1" bestFit="1" customWidth="1"/>
    <col min="9500" max="9501" width="10" style="1" bestFit="1" customWidth="1"/>
    <col min="9502" max="9730" width="9.140625" style="1"/>
    <col min="9731" max="9731" width="89.85546875" style="1" customWidth="1"/>
    <col min="9732" max="9732" width="27.7109375" style="1" customWidth="1"/>
    <col min="9733" max="9733" width="25.7109375" style="1" customWidth="1"/>
    <col min="9734" max="9734" width="23.7109375" style="1" customWidth="1"/>
    <col min="9735" max="9735" width="24.140625" style="1" customWidth="1"/>
    <col min="9736" max="9736" width="23.7109375" style="1" customWidth="1"/>
    <col min="9737" max="9737" width="24.140625" style="1" customWidth="1"/>
    <col min="9738" max="9738" width="23.42578125" style="1" customWidth="1"/>
    <col min="9739" max="9739" width="24.140625" style="1" bestFit="1" customWidth="1"/>
    <col min="9740" max="9742" width="22.5703125" style="1" customWidth="1"/>
    <col min="9743" max="9743" width="22.5703125" style="1" bestFit="1" customWidth="1"/>
    <col min="9744" max="9744" width="23.7109375" style="1" bestFit="1" customWidth="1"/>
    <col min="9745" max="9745" width="9.140625" style="1"/>
    <col min="9746" max="9746" width="96.7109375" style="1" bestFit="1" customWidth="1"/>
    <col min="9747" max="9747" width="9.140625" style="1"/>
    <col min="9748" max="9755" width="8.5703125" style="1" bestFit="1" customWidth="1"/>
    <col min="9756" max="9757" width="10" style="1" bestFit="1" customWidth="1"/>
    <col min="9758" max="9986" width="9.140625" style="1"/>
    <col min="9987" max="9987" width="89.85546875" style="1" customWidth="1"/>
    <col min="9988" max="9988" width="27.7109375" style="1" customWidth="1"/>
    <col min="9989" max="9989" width="25.7109375" style="1" customWidth="1"/>
    <col min="9990" max="9990" width="23.7109375" style="1" customWidth="1"/>
    <col min="9991" max="9991" width="24.140625" style="1" customWidth="1"/>
    <col min="9992" max="9992" width="23.7109375" style="1" customWidth="1"/>
    <col min="9993" max="9993" width="24.140625" style="1" customWidth="1"/>
    <col min="9994" max="9994" width="23.42578125" style="1" customWidth="1"/>
    <col min="9995" max="9995" width="24.140625" style="1" bestFit="1" customWidth="1"/>
    <col min="9996" max="9998" width="22.5703125" style="1" customWidth="1"/>
    <col min="9999" max="9999" width="22.5703125" style="1" bestFit="1" customWidth="1"/>
    <col min="10000" max="10000" width="23.7109375" style="1" bestFit="1" customWidth="1"/>
    <col min="10001" max="10001" width="9.140625" style="1"/>
    <col min="10002" max="10002" width="96.7109375" style="1" bestFit="1" customWidth="1"/>
    <col min="10003" max="10003" width="9.140625" style="1"/>
    <col min="10004" max="10011" width="8.5703125" style="1" bestFit="1" customWidth="1"/>
    <col min="10012" max="10013" width="10" style="1" bestFit="1" customWidth="1"/>
    <col min="10014" max="10242" width="9.140625" style="1"/>
    <col min="10243" max="10243" width="89.85546875" style="1" customWidth="1"/>
    <col min="10244" max="10244" width="27.7109375" style="1" customWidth="1"/>
    <col min="10245" max="10245" width="25.7109375" style="1" customWidth="1"/>
    <col min="10246" max="10246" width="23.7109375" style="1" customWidth="1"/>
    <col min="10247" max="10247" width="24.140625" style="1" customWidth="1"/>
    <col min="10248" max="10248" width="23.7109375" style="1" customWidth="1"/>
    <col min="10249" max="10249" width="24.140625" style="1" customWidth="1"/>
    <col min="10250" max="10250" width="23.42578125" style="1" customWidth="1"/>
    <col min="10251" max="10251" width="24.140625" style="1" bestFit="1" customWidth="1"/>
    <col min="10252" max="10254" width="22.5703125" style="1" customWidth="1"/>
    <col min="10255" max="10255" width="22.5703125" style="1" bestFit="1" customWidth="1"/>
    <col min="10256" max="10256" width="23.7109375" style="1" bestFit="1" customWidth="1"/>
    <col min="10257" max="10257" width="9.140625" style="1"/>
    <col min="10258" max="10258" width="96.7109375" style="1" bestFit="1" customWidth="1"/>
    <col min="10259" max="10259" width="9.140625" style="1"/>
    <col min="10260" max="10267" width="8.5703125" style="1" bestFit="1" customWidth="1"/>
    <col min="10268" max="10269" width="10" style="1" bestFit="1" customWidth="1"/>
    <col min="10270" max="10498" width="9.140625" style="1"/>
    <col min="10499" max="10499" width="89.85546875" style="1" customWidth="1"/>
    <col min="10500" max="10500" width="27.7109375" style="1" customWidth="1"/>
    <col min="10501" max="10501" width="25.7109375" style="1" customWidth="1"/>
    <col min="10502" max="10502" width="23.7109375" style="1" customWidth="1"/>
    <col min="10503" max="10503" width="24.140625" style="1" customWidth="1"/>
    <col min="10504" max="10504" width="23.7109375" style="1" customWidth="1"/>
    <col min="10505" max="10505" width="24.140625" style="1" customWidth="1"/>
    <col min="10506" max="10506" width="23.42578125" style="1" customWidth="1"/>
    <col min="10507" max="10507" width="24.140625" style="1" bestFit="1" customWidth="1"/>
    <col min="10508" max="10510" width="22.5703125" style="1" customWidth="1"/>
    <col min="10511" max="10511" width="22.5703125" style="1" bestFit="1" customWidth="1"/>
    <col min="10512" max="10512" width="23.7109375" style="1" bestFit="1" customWidth="1"/>
    <col min="10513" max="10513" width="9.140625" style="1"/>
    <col min="10514" max="10514" width="96.7109375" style="1" bestFit="1" customWidth="1"/>
    <col min="10515" max="10515" width="9.140625" style="1"/>
    <col min="10516" max="10523" width="8.5703125" style="1" bestFit="1" customWidth="1"/>
    <col min="10524" max="10525" width="10" style="1" bestFit="1" customWidth="1"/>
    <col min="10526" max="10754" width="9.140625" style="1"/>
    <col min="10755" max="10755" width="89.85546875" style="1" customWidth="1"/>
    <col min="10756" max="10756" width="27.7109375" style="1" customWidth="1"/>
    <col min="10757" max="10757" width="25.7109375" style="1" customWidth="1"/>
    <col min="10758" max="10758" width="23.7109375" style="1" customWidth="1"/>
    <col min="10759" max="10759" width="24.140625" style="1" customWidth="1"/>
    <col min="10760" max="10760" width="23.7109375" style="1" customWidth="1"/>
    <col min="10761" max="10761" width="24.140625" style="1" customWidth="1"/>
    <col min="10762" max="10762" width="23.42578125" style="1" customWidth="1"/>
    <col min="10763" max="10763" width="24.140625" style="1" bestFit="1" customWidth="1"/>
    <col min="10764" max="10766" width="22.5703125" style="1" customWidth="1"/>
    <col min="10767" max="10767" width="22.5703125" style="1" bestFit="1" customWidth="1"/>
    <col min="10768" max="10768" width="23.7109375" style="1" bestFit="1" customWidth="1"/>
    <col min="10769" max="10769" width="9.140625" style="1"/>
    <col min="10770" max="10770" width="96.7109375" style="1" bestFit="1" customWidth="1"/>
    <col min="10771" max="10771" width="9.140625" style="1"/>
    <col min="10772" max="10779" width="8.5703125" style="1" bestFit="1" customWidth="1"/>
    <col min="10780" max="10781" width="10" style="1" bestFit="1" customWidth="1"/>
    <col min="10782" max="11010" width="9.140625" style="1"/>
    <col min="11011" max="11011" width="89.85546875" style="1" customWidth="1"/>
    <col min="11012" max="11012" width="27.7109375" style="1" customWidth="1"/>
    <col min="11013" max="11013" width="25.7109375" style="1" customWidth="1"/>
    <col min="11014" max="11014" width="23.7109375" style="1" customWidth="1"/>
    <col min="11015" max="11015" width="24.140625" style="1" customWidth="1"/>
    <col min="11016" max="11016" width="23.7109375" style="1" customWidth="1"/>
    <col min="11017" max="11017" width="24.140625" style="1" customWidth="1"/>
    <col min="11018" max="11018" width="23.42578125" style="1" customWidth="1"/>
    <col min="11019" max="11019" width="24.140625" style="1" bestFit="1" customWidth="1"/>
    <col min="11020" max="11022" width="22.5703125" style="1" customWidth="1"/>
    <col min="11023" max="11023" width="22.5703125" style="1" bestFit="1" customWidth="1"/>
    <col min="11024" max="11024" width="23.7109375" style="1" bestFit="1" customWidth="1"/>
    <col min="11025" max="11025" width="9.140625" style="1"/>
    <col min="11026" max="11026" width="96.7109375" style="1" bestFit="1" customWidth="1"/>
    <col min="11027" max="11027" width="9.140625" style="1"/>
    <col min="11028" max="11035" width="8.5703125" style="1" bestFit="1" customWidth="1"/>
    <col min="11036" max="11037" width="10" style="1" bestFit="1" customWidth="1"/>
    <col min="11038" max="11266" width="9.140625" style="1"/>
    <col min="11267" max="11267" width="89.85546875" style="1" customWidth="1"/>
    <col min="11268" max="11268" width="27.7109375" style="1" customWidth="1"/>
    <col min="11269" max="11269" width="25.7109375" style="1" customWidth="1"/>
    <col min="11270" max="11270" width="23.7109375" style="1" customWidth="1"/>
    <col min="11271" max="11271" width="24.140625" style="1" customWidth="1"/>
    <col min="11272" max="11272" width="23.7109375" style="1" customWidth="1"/>
    <col min="11273" max="11273" width="24.140625" style="1" customWidth="1"/>
    <col min="11274" max="11274" width="23.42578125" style="1" customWidth="1"/>
    <col min="11275" max="11275" width="24.140625" style="1" bestFit="1" customWidth="1"/>
    <col min="11276" max="11278" width="22.5703125" style="1" customWidth="1"/>
    <col min="11279" max="11279" width="22.5703125" style="1" bestFit="1" customWidth="1"/>
    <col min="11280" max="11280" width="23.7109375" style="1" bestFit="1" customWidth="1"/>
    <col min="11281" max="11281" width="9.140625" style="1"/>
    <col min="11282" max="11282" width="96.7109375" style="1" bestFit="1" customWidth="1"/>
    <col min="11283" max="11283" width="9.140625" style="1"/>
    <col min="11284" max="11291" width="8.5703125" style="1" bestFit="1" customWidth="1"/>
    <col min="11292" max="11293" width="10" style="1" bestFit="1" customWidth="1"/>
    <col min="11294" max="11522" width="9.140625" style="1"/>
    <col min="11523" max="11523" width="89.85546875" style="1" customWidth="1"/>
    <col min="11524" max="11524" width="27.7109375" style="1" customWidth="1"/>
    <col min="11525" max="11525" width="25.7109375" style="1" customWidth="1"/>
    <col min="11526" max="11526" width="23.7109375" style="1" customWidth="1"/>
    <col min="11527" max="11527" width="24.140625" style="1" customWidth="1"/>
    <col min="11528" max="11528" width="23.7109375" style="1" customWidth="1"/>
    <col min="11529" max="11529" width="24.140625" style="1" customWidth="1"/>
    <col min="11530" max="11530" width="23.42578125" style="1" customWidth="1"/>
    <col min="11531" max="11531" width="24.140625" style="1" bestFit="1" customWidth="1"/>
    <col min="11532" max="11534" width="22.5703125" style="1" customWidth="1"/>
    <col min="11535" max="11535" width="22.5703125" style="1" bestFit="1" customWidth="1"/>
    <col min="11536" max="11536" width="23.7109375" style="1" bestFit="1" customWidth="1"/>
    <col min="11537" max="11537" width="9.140625" style="1"/>
    <col min="11538" max="11538" width="96.7109375" style="1" bestFit="1" customWidth="1"/>
    <col min="11539" max="11539" width="9.140625" style="1"/>
    <col min="11540" max="11547" width="8.5703125" style="1" bestFit="1" customWidth="1"/>
    <col min="11548" max="11549" width="10" style="1" bestFit="1" customWidth="1"/>
    <col min="11550" max="11778" width="9.140625" style="1"/>
    <col min="11779" max="11779" width="89.85546875" style="1" customWidth="1"/>
    <col min="11780" max="11780" width="27.7109375" style="1" customWidth="1"/>
    <col min="11781" max="11781" width="25.7109375" style="1" customWidth="1"/>
    <col min="11782" max="11782" width="23.7109375" style="1" customWidth="1"/>
    <col min="11783" max="11783" width="24.140625" style="1" customWidth="1"/>
    <col min="11784" max="11784" width="23.7109375" style="1" customWidth="1"/>
    <col min="11785" max="11785" width="24.140625" style="1" customWidth="1"/>
    <col min="11786" max="11786" width="23.42578125" style="1" customWidth="1"/>
    <col min="11787" max="11787" width="24.140625" style="1" bestFit="1" customWidth="1"/>
    <col min="11788" max="11790" width="22.5703125" style="1" customWidth="1"/>
    <col min="11791" max="11791" width="22.5703125" style="1" bestFit="1" customWidth="1"/>
    <col min="11792" max="11792" width="23.7109375" style="1" bestFit="1" customWidth="1"/>
    <col min="11793" max="11793" width="9.140625" style="1"/>
    <col min="11794" max="11794" width="96.7109375" style="1" bestFit="1" customWidth="1"/>
    <col min="11795" max="11795" width="9.140625" style="1"/>
    <col min="11796" max="11803" width="8.5703125" style="1" bestFit="1" customWidth="1"/>
    <col min="11804" max="11805" width="10" style="1" bestFit="1" customWidth="1"/>
    <col min="11806" max="12034" width="9.140625" style="1"/>
    <col min="12035" max="12035" width="89.85546875" style="1" customWidth="1"/>
    <col min="12036" max="12036" width="27.7109375" style="1" customWidth="1"/>
    <col min="12037" max="12037" width="25.7109375" style="1" customWidth="1"/>
    <col min="12038" max="12038" width="23.7109375" style="1" customWidth="1"/>
    <col min="12039" max="12039" width="24.140625" style="1" customWidth="1"/>
    <col min="12040" max="12040" width="23.7109375" style="1" customWidth="1"/>
    <col min="12041" max="12041" width="24.140625" style="1" customWidth="1"/>
    <col min="12042" max="12042" width="23.42578125" style="1" customWidth="1"/>
    <col min="12043" max="12043" width="24.140625" style="1" bestFit="1" customWidth="1"/>
    <col min="12044" max="12046" width="22.5703125" style="1" customWidth="1"/>
    <col min="12047" max="12047" width="22.5703125" style="1" bestFit="1" customWidth="1"/>
    <col min="12048" max="12048" width="23.7109375" style="1" bestFit="1" customWidth="1"/>
    <col min="12049" max="12049" width="9.140625" style="1"/>
    <col min="12050" max="12050" width="96.7109375" style="1" bestFit="1" customWidth="1"/>
    <col min="12051" max="12051" width="9.140625" style="1"/>
    <col min="12052" max="12059" width="8.5703125" style="1" bestFit="1" customWidth="1"/>
    <col min="12060" max="12061" width="10" style="1" bestFit="1" customWidth="1"/>
    <col min="12062" max="12290" width="9.140625" style="1"/>
    <col min="12291" max="12291" width="89.85546875" style="1" customWidth="1"/>
    <col min="12292" max="12292" width="27.7109375" style="1" customWidth="1"/>
    <col min="12293" max="12293" width="25.7109375" style="1" customWidth="1"/>
    <col min="12294" max="12294" width="23.7109375" style="1" customWidth="1"/>
    <col min="12295" max="12295" width="24.140625" style="1" customWidth="1"/>
    <col min="12296" max="12296" width="23.7109375" style="1" customWidth="1"/>
    <col min="12297" max="12297" width="24.140625" style="1" customWidth="1"/>
    <col min="12298" max="12298" width="23.42578125" style="1" customWidth="1"/>
    <col min="12299" max="12299" width="24.140625" style="1" bestFit="1" customWidth="1"/>
    <col min="12300" max="12302" width="22.5703125" style="1" customWidth="1"/>
    <col min="12303" max="12303" width="22.5703125" style="1" bestFit="1" customWidth="1"/>
    <col min="12304" max="12304" width="23.7109375" style="1" bestFit="1" customWidth="1"/>
    <col min="12305" max="12305" width="9.140625" style="1"/>
    <col min="12306" max="12306" width="96.7109375" style="1" bestFit="1" customWidth="1"/>
    <col min="12307" max="12307" width="9.140625" style="1"/>
    <col min="12308" max="12315" width="8.5703125" style="1" bestFit="1" customWidth="1"/>
    <col min="12316" max="12317" width="10" style="1" bestFit="1" customWidth="1"/>
    <col min="12318" max="12546" width="9.140625" style="1"/>
    <col min="12547" max="12547" width="89.85546875" style="1" customWidth="1"/>
    <col min="12548" max="12548" width="27.7109375" style="1" customWidth="1"/>
    <col min="12549" max="12549" width="25.7109375" style="1" customWidth="1"/>
    <col min="12550" max="12550" width="23.7109375" style="1" customWidth="1"/>
    <col min="12551" max="12551" width="24.140625" style="1" customWidth="1"/>
    <col min="12552" max="12552" width="23.7109375" style="1" customWidth="1"/>
    <col min="12553" max="12553" width="24.140625" style="1" customWidth="1"/>
    <col min="12554" max="12554" width="23.42578125" style="1" customWidth="1"/>
    <col min="12555" max="12555" width="24.140625" style="1" bestFit="1" customWidth="1"/>
    <col min="12556" max="12558" width="22.5703125" style="1" customWidth="1"/>
    <col min="12559" max="12559" width="22.5703125" style="1" bestFit="1" customWidth="1"/>
    <col min="12560" max="12560" width="23.7109375" style="1" bestFit="1" customWidth="1"/>
    <col min="12561" max="12561" width="9.140625" style="1"/>
    <col min="12562" max="12562" width="96.7109375" style="1" bestFit="1" customWidth="1"/>
    <col min="12563" max="12563" width="9.140625" style="1"/>
    <col min="12564" max="12571" width="8.5703125" style="1" bestFit="1" customWidth="1"/>
    <col min="12572" max="12573" width="10" style="1" bestFit="1" customWidth="1"/>
    <col min="12574" max="12802" width="9.140625" style="1"/>
    <col min="12803" max="12803" width="89.85546875" style="1" customWidth="1"/>
    <col min="12804" max="12804" width="27.7109375" style="1" customWidth="1"/>
    <col min="12805" max="12805" width="25.7109375" style="1" customWidth="1"/>
    <col min="12806" max="12806" width="23.7109375" style="1" customWidth="1"/>
    <col min="12807" max="12807" width="24.140625" style="1" customWidth="1"/>
    <col min="12808" max="12808" width="23.7109375" style="1" customWidth="1"/>
    <col min="12809" max="12809" width="24.140625" style="1" customWidth="1"/>
    <col min="12810" max="12810" width="23.42578125" style="1" customWidth="1"/>
    <col min="12811" max="12811" width="24.140625" style="1" bestFit="1" customWidth="1"/>
    <col min="12812" max="12814" width="22.5703125" style="1" customWidth="1"/>
    <col min="12815" max="12815" width="22.5703125" style="1" bestFit="1" customWidth="1"/>
    <col min="12816" max="12816" width="23.7109375" style="1" bestFit="1" customWidth="1"/>
    <col min="12817" max="12817" width="9.140625" style="1"/>
    <col min="12818" max="12818" width="96.7109375" style="1" bestFit="1" customWidth="1"/>
    <col min="12819" max="12819" width="9.140625" style="1"/>
    <col min="12820" max="12827" width="8.5703125" style="1" bestFit="1" customWidth="1"/>
    <col min="12828" max="12829" width="10" style="1" bestFit="1" customWidth="1"/>
    <col min="12830" max="13058" width="9.140625" style="1"/>
    <col min="13059" max="13059" width="89.85546875" style="1" customWidth="1"/>
    <col min="13060" max="13060" width="27.7109375" style="1" customWidth="1"/>
    <col min="13061" max="13061" width="25.7109375" style="1" customWidth="1"/>
    <col min="13062" max="13062" width="23.7109375" style="1" customWidth="1"/>
    <col min="13063" max="13063" width="24.140625" style="1" customWidth="1"/>
    <col min="13064" max="13064" width="23.7109375" style="1" customWidth="1"/>
    <col min="13065" max="13065" width="24.140625" style="1" customWidth="1"/>
    <col min="13066" max="13066" width="23.42578125" style="1" customWidth="1"/>
    <col min="13067" max="13067" width="24.140625" style="1" bestFit="1" customWidth="1"/>
    <col min="13068" max="13070" width="22.5703125" style="1" customWidth="1"/>
    <col min="13071" max="13071" width="22.5703125" style="1" bestFit="1" customWidth="1"/>
    <col min="13072" max="13072" width="23.7109375" style="1" bestFit="1" customWidth="1"/>
    <col min="13073" max="13073" width="9.140625" style="1"/>
    <col min="13074" max="13074" width="96.7109375" style="1" bestFit="1" customWidth="1"/>
    <col min="13075" max="13075" width="9.140625" style="1"/>
    <col min="13076" max="13083" width="8.5703125" style="1" bestFit="1" customWidth="1"/>
    <col min="13084" max="13085" width="10" style="1" bestFit="1" customWidth="1"/>
    <col min="13086" max="13314" width="9.140625" style="1"/>
    <col min="13315" max="13315" width="89.85546875" style="1" customWidth="1"/>
    <col min="13316" max="13316" width="27.7109375" style="1" customWidth="1"/>
    <col min="13317" max="13317" width="25.7109375" style="1" customWidth="1"/>
    <col min="13318" max="13318" width="23.7109375" style="1" customWidth="1"/>
    <col min="13319" max="13319" width="24.140625" style="1" customWidth="1"/>
    <col min="13320" max="13320" width="23.7109375" style="1" customWidth="1"/>
    <col min="13321" max="13321" width="24.140625" style="1" customWidth="1"/>
    <col min="13322" max="13322" width="23.42578125" style="1" customWidth="1"/>
    <col min="13323" max="13323" width="24.140625" style="1" bestFit="1" customWidth="1"/>
    <col min="13324" max="13326" width="22.5703125" style="1" customWidth="1"/>
    <col min="13327" max="13327" width="22.5703125" style="1" bestFit="1" customWidth="1"/>
    <col min="13328" max="13328" width="23.7109375" style="1" bestFit="1" customWidth="1"/>
    <col min="13329" max="13329" width="9.140625" style="1"/>
    <col min="13330" max="13330" width="96.7109375" style="1" bestFit="1" customWidth="1"/>
    <col min="13331" max="13331" width="9.140625" style="1"/>
    <col min="13332" max="13339" width="8.5703125" style="1" bestFit="1" customWidth="1"/>
    <col min="13340" max="13341" width="10" style="1" bestFit="1" customWidth="1"/>
    <col min="13342" max="13570" width="9.140625" style="1"/>
    <col min="13571" max="13571" width="89.85546875" style="1" customWidth="1"/>
    <col min="13572" max="13572" width="27.7109375" style="1" customWidth="1"/>
    <col min="13573" max="13573" width="25.7109375" style="1" customWidth="1"/>
    <col min="13574" max="13574" width="23.7109375" style="1" customWidth="1"/>
    <col min="13575" max="13575" width="24.140625" style="1" customWidth="1"/>
    <col min="13576" max="13576" width="23.7109375" style="1" customWidth="1"/>
    <col min="13577" max="13577" width="24.140625" style="1" customWidth="1"/>
    <col min="13578" max="13578" width="23.42578125" style="1" customWidth="1"/>
    <col min="13579" max="13579" width="24.140625" style="1" bestFit="1" customWidth="1"/>
    <col min="13580" max="13582" width="22.5703125" style="1" customWidth="1"/>
    <col min="13583" max="13583" width="22.5703125" style="1" bestFit="1" customWidth="1"/>
    <col min="13584" max="13584" width="23.7109375" style="1" bestFit="1" customWidth="1"/>
    <col min="13585" max="13585" width="9.140625" style="1"/>
    <col min="13586" max="13586" width="96.7109375" style="1" bestFit="1" customWidth="1"/>
    <col min="13587" max="13587" width="9.140625" style="1"/>
    <col min="13588" max="13595" width="8.5703125" style="1" bestFit="1" customWidth="1"/>
    <col min="13596" max="13597" width="10" style="1" bestFit="1" customWidth="1"/>
    <col min="13598" max="13826" width="9.140625" style="1"/>
    <col min="13827" max="13827" width="89.85546875" style="1" customWidth="1"/>
    <col min="13828" max="13828" width="27.7109375" style="1" customWidth="1"/>
    <col min="13829" max="13829" width="25.7109375" style="1" customWidth="1"/>
    <col min="13830" max="13830" width="23.7109375" style="1" customWidth="1"/>
    <col min="13831" max="13831" width="24.140625" style="1" customWidth="1"/>
    <col min="13832" max="13832" width="23.7109375" style="1" customWidth="1"/>
    <col min="13833" max="13833" width="24.140625" style="1" customWidth="1"/>
    <col min="13834" max="13834" width="23.42578125" style="1" customWidth="1"/>
    <col min="13835" max="13835" width="24.140625" style="1" bestFit="1" customWidth="1"/>
    <col min="13836" max="13838" width="22.5703125" style="1" customWidth="1"/>
    <col min="13839" max="13839" width="22.5703125" style="1" bestFit="1" customWidth="1"/>
    <col min="13840" max="13840" width="23.7109375" style="1" bestFit="1" customWidth="1"/>
    <col min="13841" max="13841" width="9.140625" style="1"/>
    <col min="13842" max="13842" width="96.7109375" style="1" bestFit="1" customWidth="1"/>
    <col min="13843" max="13843" width="9.140625" style="1"/>
    <col min="13844" max="13851" width="8.5703125" style="1" bestFit="1" customWidth="1"/>
    <col min="13852" max="13853" width="10" style="1" bestFit="1" customWidth="1"/>
    <col min="13854" max="14082" width="9.140625" style="1"/>
    <col min="14083" max="14083" width="89.85546875" style="1" customWidth="1"/>
    <col min="14084" max="14084" width="27.7109375" style="1" customWidth="1"/>
    <col min="14085" max="14085" width="25.7109375" style="1" customWidth="1"/>
    <col min="14086" max="14086" width="23.7109375" style="1" customWidth="1"/>
    <col min="14087" max="14087" width="24.140625" style="1" customWidth="1"/>
    <col min="14088" max="14088" width="23.7109375" style="1" customWidth="1"/>
    <col min="14089" max="14089" width="24.140625" style="1" customWidth="1"/>
    <col min="14090" max="14090" width="23.42578125" style="1" customWidth="1"/>
    <col min="14091" max="14091" width="24.140625" style="1" bestFit="1" customWidth="1"/>
    <col min="14092" max="14094" width="22.5703125" style="1" customWidth="1"/>
    <col min="14095" max="14095" width="22.5703125" style="1" bestFit="1" customWidth="1"/>
    <col min="14096" max="14096" width="23.7109375" style="1" bestFit="1" customWidth="1"/>
    <col min="14097" max="14097" width="9.140625" style="1"/>
    <col min="14098" max="14098" width="96.7109375" style="1" bestFit="1" customWidth="1"/>
    <col min="14099" max="14099" width="9.140625" style="1"/>
    <col min="14100" max="14107" width="8.5703125" style="1" bestFit="1" customWidth="1"/>
    <col min="14108" max="14109" width="10" style="1" bestFit="1" customWidth="1"/>
    <col min="14110" max="14338" width="9.140625" style="1"/>
    <col min="14339" max="14339" width="89.85546875" style="1" customWidth="1"/>
    <col min="14340" max="14340" width="27.7109375" style="1" customWidth="1"/>
    <col min="14341" max="14341" width="25.7109375" style="1" customWidth="1"/>
    <col min="14342" max="14342" width="23.7109375" style="1" customWidth="1"/>
    <col min="14343" max="14343" width="24.140625" style="1" customWidth="1"/>
    <col min="14344" max="14344" width="23.7109375" style="1" customWidth="1"/>
    <col min="14345" max="14345" width="24.140625" style="1" customWidth="1"/>
    <col min="14346" max="14346" width="23.42578125" style="1" customWidth="1"/>
    <col min="14347" max="14347" width="24.140625" style="1" bestFit="1" customWidth="1"/>
    <col min="14348" max="14350" width="22.5703125" style="1" customWidth="1"/>
    <col min="14351" max="14351" width="22.5703125" style="1" bestFit="1" customWidth="1"/>
    <col min="14352" max="14352" width="23.7109375" style="1" bestFit="1" customWidth="1"/>
    <col min="14353" max="14353" width="9.140625" style="1"/>
    <col min="14354" max="14354" width="96.7109375" style="1" bestFit="1" customWidth="1"/>
    <col min="14355" max="14355" width="9.140625" style="1"/>
    <col min="14356" max="14363" width="8.5703125" style="1" bestFit="1" customWidth="1"/>
    <col min="14364" max="14365" width="10" style="1" bestFit="1" customWidth="1"/>
    <col min="14366" max="14594" width="9.140625" style="1"/>
    <col min="14595" max="14595" width="89.85546875" style="1" customWidth="1"/>
    <col min="14596" max="14596" width="27.7109375" style="1" customWidth="1"/>
    <col min="14597" max="14597" width="25.7109375" style="1" customWidth="1"/>
    <col min="14598" max="14598" width="23.7109375" style="1" customWidth="1"/>
    <col min="14599" max="14599" width="24.140625" style="1" customWidth="1"/>
    <col min="14600" max="14600" width="23.7109375" style="1" customWidth="1"/>
    <col min="14601" max="14601" width="24.140625" style="1" customWidth="1"/>
    <col min="14602" max="14602" width="23.42578125" style="1" customWidth="1"/>
    <col min="14603" max="14603" width="24.140625" style="1" bestFit="1" customWidth="1"/>
    <col min="14604" max="14606" width="22.5703125" style="1" customWidth="1"/>
    <col min="14607" max="14607" width="22.5703125" style="1" bestFit="1" customWidth="1"/>
    <col min="14608" max="14608" width="23.7109375" style="1" bestFit="1" customWidth="1"/>
    <col min="14609" max="14609" width="9.140625" style="1"/>
    <col min="14610" max="14610" width="96.7109375" style="1" bestFit="1" customWidth="1"/>
    <col min="14611" max="14611" width="9.140625" style="1"/>
    <col min="14612" max="14619" width="8.5703125" style="1" bestFit="1" customWidth="1"/>
    <col min="14620" max="14621" width="10" style="1" bestFit="1" customWidth="1"/>
    <col min="14622" max="14850" width="9.140625" style="1"/>
    <col min="14851" max="14851" width="89.85546875" style="1" customWidth="1"/>
    <col min="14852" max="14852" width="27.7109375" style="1" customWidth="1"/>
    <col min="14853" max="14853" width="25.7109375" style="1" customWidth="1"/>
    <col min="14854" max="14854" width="23.7109375" style="1" customWidth="1"/>
    <col min="14855" max="14855" width="24.140625" style="1" customWidth="1"/>
    <col min="14856" max="14856" width="23.7109375" style="1" customWidth="1"/>
    <col min="14857" max="14857" width="24.140625" style="1" customWidth="1"/>
    <col min="14858" max="14858" width="23.42578125" style="1" customWidth="1"/>
    <col min="14859" max="14859" width="24.140625" style="1" bestFit="1" customWidth="1"/>
    <col min="14860" max="14862" width="22.5703125" style="1" customWidth="1"/>
    <col min="14863" max="14863" width="22.5703125" style="1" bestFit="1" customWidth="1"/>
    <col min="14864" max="14864" width="23.7109375" style="1" bestFit="1" customWidth="1"/>
    <col min="14865" max="14865" width="9.140625" style="1"/>
    <col min="14866" max="14866" width="96.7109375" style="1" bestFit="1" customWidth="1"/>
    <col min="14867" max="14867" width="9.140625" style="1"/>
    <col min="14868" max="14875" width="8.5703125" style="1" bestFit="1" customWidth="1"/>
    <col min="14876" max="14877" width="10" style="1" bestFit="1" customWidth="1"/>
    <col min="14878" max="15106" width="9.140625" style="1"/>
    <col min="15107" max="15107" width="89.85546875" style="1" customWidth="1"/>
    <col min="15108" max="15108" width="27.7109375" style="1" customWidth="1"/>
    <col min="15109" max="15109" width="25.7109375" style="1" customWidth="1"/>
    <col min="15110" max="15110" width="23.7109375" style="1" customWidth="1"/>
    <col min="15111" max="15111" width="24.140625" style="1" customWidth="1"/>
    <col min="15112" max="15112" width="23.7109375" style="1" customWidth="1"/>
    <col min="15113" max="15113" width="24.140625" style="1" customWidth="1"/>
    <col min="15114" max="15114" width="23.42578125" style="1" customWidth="1"/>
    <col min="15115" max="15115" width="24.140625" style="1" bestFit="1" customWidth="1"/>
    <col min="15116" max="15118" width="22.5703125" style="1" customWidth="1"/>
    <col min="15119" max="15119" width="22.5703125" style="1" bestFit="1" customWidth="1"/>
    <col min="15120" max="15120" width="23.7109375" style="1" bestFit="1" customWidth="1"/>
    <col min="15121" max="15121" width="9.140625" style="1"/>
    <col min="15122" max="15122" width="96.7109375" style="1" bestFit="1" customWidth="1"/>
    <col min="15123" max="15123" width="9.140625" style="1"/>
    <col min="15124" max="15131" width="8.5703125" style="1" bestFit="1" customWidth="1"/>
    <col min="15132" max="15133" width="10" style="1" bestFit="1" customWidth="1"/>
    <col min="15134" max="15362" width="9.140625" style="1"/>
    <col min="15363" max="15363" width="89.85546875" style="1" customWidth="1"/>
    <col min="15364" max="15364" width="27.7109375" style="1" customWidth="1"/>
    <col min="15365" max="15365" width="25.7109375" style="1" customWidth="1"/>
    <col min="15366" max="15366" width="23.7109375" style="1" customWidth="1"/>
    <col min="15367" max="15367" width="24.140625" style="1" customWidth="1"/>
    <col min="15368" max="15368" width="23.7109375" style="1" customWidth="1"/>
    <col min="15369" max="15369" width="24.140625" style="1" customWidth="1"/>
    <col min="15370" max="15370" width="23.42578125" style="1" customWidth="1"/>
    <col min="15371" max="15371" width="24.140625" style="1" bestFit="1" customWidth="1"/>
    <col min="15372" max="15374" width="22.5703125" style="1" customWidth="1"/>
    <col min="15375" max="15375" width="22.5703125" style="1" bestFit="1" customWidth="1"/>
    <col min="15376" max="15376" width="23.7109375" style="1" bestFit="1" customWidth="1"/>
    <col min="15377" max="15377" width="9.140625" style="1"/>
    <col min="15378" max="15378" width="96.7109375" style="1" bestFit="1" customWidth="1"/>
    <col min="15379" max="15379" width="9.140625" style="1"/>
    <col min="15380" max="15387" width="8.5703125" style="1" bestFit="1" customWidth="1"/>
    <col min="15388" max="15389" width="10" style="1" bestFit="1" customWidth="1"/>
    <col min="15390" max="15618" width="9.140625" style="1"/>
    <col min="15619" max="15619" width="89.85546875" style="1" customWidth="1"/>
    <col min="15620" max="15620" width="27.7109375" style="1" customWidth="1"/>
    <col min="15621" max="15621" width="25.7109375" style="1" customWidth="1"/>
    <col min="15622" max="15622" width="23.7109375" style="1" customWidth="1"/>
    <col min="15623" max="15623" width="24.140625" style="1" customWidth="1"/>
    <col min="15624" max="15624" width="23.7109375" style="1" customWidth="1"/>
    <col min="15625" max="15625" width="24.140625" style="1" customWidth="1"/>
    <col min="15626" max="15626" width="23.42578125" style="1" customWidth="1"/>
    <col min="15627" max="15627" width="24.140625" style="1" bestFit="1" customWidth="1"/>
    <col min="15628" max="15630" width="22.5703125" style="1" customWidth="1"/>
    <col min="15631" max="15631" width="22.5703125" style="1" bestFit="1" customWidth="1"/>
    <col min="15632" max="15632" width="23.7109375" style="1" bestFit="1" customWidth="1"/>
    <col min="15633" max="15633" width="9.140625" style="1"/>
    <col min="15634" max="15634" width="96.7109375" style="1" bestFit="1" customWidth="1"/>
    <col min="15635" max="15635" width="9.140625" style="1"/>
    <col min="15636" max="15643" width="8.5703125" style="1" bestFit="1" customWidth="1"/>
    <col min="15644" max="15645" width="10" style="1" bestFit="1" customWidth="1"/>
    <col min="15646" max="15874" width="9.140625" style="1"/>
    <col min="15875" max="15875" width="89.85546875" style="1" customWidth="1"/>
    <col min="15876" max="15876" width="27.7109375" style="1" customWidth="1"/>
    <col min="15877" max="15877" width="25.7109375" style="1" customWidth="1"/>
    <col min="15878" max="15878" width="23.7109375" style="1" customWidth="1"/>
    <col min="15879" max="15879" width="24.140625" style="1" customWidth="1"/>
    <col min="15880" max="15880" width="23.7109375" style="1" customWidth="1"/>
    <col min="15881" max="15881" width="24.140625" style="1" customWidth="1"/>
    <col min="15882" max="15882" width="23.42578125" style="1" customWidth="1"/>
    <col min="15883" max="15883" width="24.140625" style="1" bestFit="1" customWidth="1"/>
    <col min="15884" max="15886" width="22.5703125" style="1" customWidth="1"/>
    <col min="15887" max="15887" width="22.5703125" style="1" bestFit="1" customWidth="1"/>
    <col min="15888" max="15888" width="23.7109375" style="1" bestFit="1" customWidth="1"/>
    <col min="15889" max="15889" width="9.140625" style="1"/>
    <col min="15890" max="15890" width="96.7109375" style="1" bestFit="1" customWidth="1"/>
    <col min="15891" max="15891" width="9.140625" style="1"/>
    <col min="15892" max="15899" width="8.5703125" style="1" bestFit="1" customWidth="1"/>
    <col min="15900" max="15901" width="10" style="1" bestFit="1" customWidth="1"/>
    <col min="15902" max="16130" width="9.140625" style="1"/>
    <col min="16131" max="16131" width="89.85546875" style="1" customWidth="1"/>
    <col min="16132" max="16132" width="27.7109375" style="1" customWidth="1"/>
    <col min="16133" max="16133" width="25.7109375" style="1" customWidth="1"/>
    <col min="16134" max="16134" width="23.7109375" style="1" customWidth="1"/>
    <col min="16135" max="16135" width="24.140625" style="1" customWidth="1"/>
    <col min="16136" max="16136" width="23.7109375" style="1" customWidth="1"/>
    <col min="16137" max="16137" width="24.140625" style="1" customWidth="1"/>
    <col min="16138" max="16138" width="23.42578125" style="1" customWidth="1"/>
    <col min="16139" max="16139" width="24.140625" style="1" bestFit="1" customWidth="1"/>
    <col min="16140" max="16142" width="22.5703125" style="1" customWidth="1"/>
    <col min="16143" max="16143" width="22.5703125" style="1" bestFit="1" customWidth="1"/>
    <col min="16144" max="16144" width="23.7109375" style="1" bestFit="1" customWidth="1"/>
    <col min="16145" max="16145" width="9.140625" style="1"/>
    <col min="16146" max="16146" width="96.7109375" style="1" bestFit="1" customWidth="1"/>
    <col min="16147" max="16147" width="9.140625" style="1"/>
    <col min="16148" max="16155" width="8.5703125" style="1" bestFit="1" customWidth="1"/>
    <col min="16156" max="16157" width="10" style="1" bestFit="1" customWidth="1"/>
    <col min="16158" max="16384" width="9.140625" style="1"/>
  </cols>
  <sheetData>
    <row r="1" spans="1:29" ht="21" customHeight="1" x14ac:dyDescent="0.3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R1" s="2" t="s">
        <v>1</v>
      </c>
    </row>
    <row r="2" spans="1:29" x14ac:dyDescent="0.35">
      <c r="A2" s="68" t="s">
        <v>87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R2" s="2" t="s">
        <v>2</v>
      </c>
    </row>
    <row r="3" spans="1:29" x14ac:dyDescent="0.35">
      <c r="A3" s="67" t="s">
        <v>3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R3" s="2" t="s">
        <v>4</v>
      </c>
    </row>
    <row r="4" spans="1:29" ht="21.75" thickBot="1" x14ac:dyDescent="0.4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R4" s="2"/>
    </row>
    <row r="5" spans="1:29" ht="21.75" thickBot="1" x14ac:dyDescent="0.4">
      <c r="A5" s="32"/>
      <c r="B5" s="32"/>
      <c r="C5" s="13"/>
      <c r="D5" s="69" t="s">
        <v>99</v>
      </c>
      <c r="E5" s="70"/>
      <c r="F5" s="70"/>
      <c r="G5" s="70"/>
      <c r="H5" s="70"/>
      <c r="I5" s="70"/>
      <c r="J5" s="71"/>
      <c r="K5" s="32"/>
      <c r="L5" s="32"/>
      <c r="M5" s="32"/>
      <c r="N5" s="32"/>
      <c r="O5" s="32"/>
      <c r="P5" s="32"/>
      <c r="R5" s="2" t="s">
        <v>5</v>
      </c>
    </row>
    <row r="6" spans="1:29" ht="42.75" thickBot="1" x14ac:dyDescent="0.4">
      <c r="A6" s="52" t="s">
        <v>6</v>
      </c>
      <c r="B6" s="40" t="s">
        <v>7</v>
      </c>
      <c r="C6" s="41" t="s">
        <v>8</v>
      </c>
      <c r="D6" s="40" t="s">
        <v>89</v>
      </c>
      <c r="E6" s="40" t="s">
        <v>90</v>
      </c>
      <c r="F6" s="40" t="s">
        <v>91</v>
      </c>
      <c r="G6" s="40" t="s">
        <v>92</v>
      </c>
      <c r="H6" s="40" t="s">
        <v>93</v>
      </c>
      <c r="I6" s="40" t="s">
        <v>100</v>
      </c>
      <c r="J6" s="40" t="s">
        <v>101</v>
      </c>
      <c r="K6" s="42" t="s">
        <v>88</v>
      </c>
      <c r="L6" s="4" t="s">
        <v>94</v>
      </c>
      <c r="M6" s="4" t="s">
        <v>95</v>
      </c>
      <c r="N6" s="4" t="s">
        <v>96</v>
      </c>
      <c r="O6" s="4" t="s">
        <v>97</v>
      </c>
      <c r="P6" s="4" t="s">
        <v>98</v>
      </c>
      <c r="AB6" s="5">
        <f>SUM(T7:AB7)</f>
        <v>11.029108875781253</v>
      </c>
      <c r="AC6" s="5">
        <f>+AB6+AC7</f>
        <v>13.989108875781252</v>
      </c>
    </row>
    <row r="7" spans="1:29" x14ac:dyDescent="0.35">
      <c r="A7" s="50" t="s">
        <v>9</v>
      </c>
      <c r="B7" s="26">
        <f t="shared" ref="B7:P7" si="0">+B8+B16+B27+B37+B45+B52+B62</f>
        <v>179756600</v>
      </c>
      <c r="C7" s="33">
        <f>+C8+C16+C27+C37+C45+C52+C62</f>
        <v>-967466</v>
      </c>
      <c r="D7" s="26">
        <f t="shared" si="0"/>
        <v>7190719.1400000006</v>
      </c>
      <c r="E7" s="26">
        <f t="shared" si="0"/>
        <v>8707304.2400000002</v>
      </c>
      <c r="F7" s="26">
        <f t="shared" si="0"/>
        <v>10118668.800000001</v>
      </c>
      <c r="G7" s="26">
        <f t="shared" si="0"/>
        <v>8891987.4699999988</v>
      </c>
      <c r="H7" s="37">
        <f t="shared" si="0"/>
        <v>14663808.100000001</v>
      </c>
      <c r="I7" s="37">
        <f t="shared" si="0"/>
        <v>9798934.8400000017</v>
      </c>
      <c r="J7" s="37">
        <f t="shared" si="0"/>
        <v>10790483.949999999</v>
      </c>
      <c r="K7" s="66">
        <f t="shared" si="0"/>
        <v>70161906.540000007</v>
      </c>
      <c r="L7" s="14">
        <f t="shared" si="0"/>
        <v>0</v>
      </c>
      <c r="M7" s="14">
        <f t="shared" si="0"/>
        <v>0</v>
      </c>
      <c r="N7" s="14">
        <f t="shared" si="0"/>
        <v>0</v>
      </c>
      <c r="O7" s="14">
        <f t="shared" si="0"/>
        <v>0</v>
      </c>
      <c r="P7" s="14">
        <f t="shared" si="0"/>
        <v>0</v>
      </c>
      <c r="T7" s="7">
        <v>1</v>
      </c>
      <c r="U7" s="7">
        <v>1.05</v>
      </c>
      <c r="V7" s="7">
        <f t="shared" ref="V7:AA7" si="1">+U7*1.05</f>
        <v>1.1025</v>
      </c>
      <c r="W7" s="7">
        <f t="shared" si="1"/>
        <v>1.1576250000000001</v>
      </c>
      <c r="X7" s="7">
        <f t="shared" si="1"/>
        <v>1.2155062500000002</v>
      </c>
      <c r="Y7" s="7">
        <f t="shared" si="1"/>
        <v>1.2762815625000004</v>
      </c>
      <c r="Z7" s="7">
        <f t="shared" si="1"/>
        <v>1.3400956406250004</v>
      </c>
      <c r="AA7" s="7">
        <f t="shared" si="1"/>
        <v>1.4071004226562505</v>
      </c>
      <c r="AB7" s="7">
        <v>1.48</v>
      </c>
      <c r="AC7" s="7">
        <f>+AB7*2</f>
        <v>2.96</v>
      </c>
    </row>
    <row r="8" spans="1:29" x14ac:dyDescent="0.35">
      <c r="A8" s="50" t="s">
        <v>10</v>
      </c>
      <c r="B8" s="27">
        <f>SUM(B9:B15)</f>
        <v>131801321</v>
      </c>
      <c r="C8" s="34">
        <f>SUM(C9:C15)</f>
        <v>0</v>
      </c>
      <c r="D8" s="27">
        <f t="shared" ref="D8:Q8" si="2">SUM(D9:D15)</f>
        <v>7190719.1400000006</v>
      </c>
      <c r="E8" s="27">
        <f t="shared" si="2"/>
        <v>7563636.4400000004</v>
      </c>
      <c r="F8" s="27">
        <f t="shared" si="2"/>
        <v>7318448.6699999999</v>
      </c>
      <c r="G8" s="27">
        <f t="shared" si="2"/>
        <v>7535315.0099999998</v>
      </c>
      <c r="H8" s="38">
        <f t="shared" si="2"/>
        <v>12619311.350000001</v>
      </c>
      <c r="I8" s="38">
        <f>SUM(I9:I15)</f>
        <v>8354374.3000000007</v>
      </c>
      <c r="J8" s="38">
        <f t="shared" ref="J8:K8" si="3">SUM(J9:J15)</f>
        <v>7720736.5899999999</v>
      </c>
      <c r="K8" s="27">
        <f t="shared" si="3"/>
        <v>58302541.500000007</v>
      </c>
      <c r="L8" s="15">
        <f t="shared" si="2"/>
        <v>0</v>
      </c>
      <c r="M8" s="15">
        <f t="shared" si="2"/>
        <v>0</v>
      </c>
      <c r="N8" s="15">
        <f t="shared" si="2"/>
        <v>0</v>
      </c>
      <c r="O8" s="15">
        <f t="shared" si="2"/>
        <v>0</v>
      </c>
      <c r="P8" s="15">
        <f t="shared" si="2"/>
        <v>0</v>
      </c>
      <c r="Q8" s="15">
        <f t="shared" si="2"/>
        <v>0</v>
      </c>
      <c r="T8" s="8"/>
    </row>
    <row r="9" spans="1:29" x14ac:dyDescent="0.35">
      <c r="A9" s="51" t="s">
        <v>11</v>
      </c>
      <c r="B9" s="28">
        <v>100948606</v>
      </c>
      <c r="C9" s="35"/>
      <c r="D9" s="29">
        <f>3486254.58+2253300+438100</f>
        <v>6177654.5800000001</v>
      </c>
      <c r="E9" s="47">
        <f>3634850.04+2412965.29+438100</f>
        <v>6485915.3300000001</v>
      </c>
      <c r="F9" s="47">
        <f>3454654.58+2375800+438100</f>
        <v>6268554.5800000001</v>
      </c>
      <c r="G9" s="47">
        <f>3561521.24+2459300+438100</f>
        <v>6458921.2400000002</v>
      </c>
      <c r="H9" s="39">
        <f>4204646.5+2312300+438100</f>
        <v>6955046.5</v>
      </c>
      <c r="I9" s="39">
        <f>3874654.58+2498966.67+438100</f>
        <v>6811721.25</v>
      </c>
      <c r="J9" s="39">
        <f>3798787.5+2342300+503100</f>
        <v>6644187.5</v>
      </c>
      <c r="K9" s="29">
        <f>SUM(D9:J9)</f>
        <v>45802000.980000004</v>
      </c>
      <c r="L9" s="16"/>
      <c r="M9" s="16"/>
      <c r="N9" s="16"/>
      <c r="O9" s="16"/>
      <c r="P9" s="16"/>
    </row>
    <row r="10" spans="1:29" x14ac:dyDescent="0.35">
      <c r="A10" s="51" t="s">
        <v>12</v>
      </c>
      <c r="B10" s="28"/>
      <c r="C10" s="36"/>
      <c r="D10" s="47">
        <v>0</v>
      </c>
      <c r="E10" s="47"/>
      <c r="F10" s="47"/>
      <c r="G10" s="47"/>
      <c r="H10" s="39"/>
      <c r="I10" s="39"/>
      <c r="J10" s="39"/>
      <c r="K10" s="29">
        <f t="shared" ref="K10:K73" si="4">SUM(D10:J10)</f>
        <v>0</v>
      </c>
      <c r="L10" s="16"/>
      <c r="M10" s="16"/>
      <c r="N10" s="16"/>
      <c r="O10" s="16"/>
      <c r="P10" s="16"/>
      <c r="R10" s="5"/>
    </row>
    <row r="11" spans="1:29" x14ac:dyDescent="0.35">
      <c r="A11" s="51" t="s">
        <v>13</v>
      </c>
      <c r="B11" s="28"/>
      <c r="C11" s="36"/>
      <c r="D11" s="47"/>
      <c r="E11" s="47"/>
      <c r="F11" s="47"/>
      <c r="G11" s="47"/>
      <c r="H11" s="39"/>
      <c r="I11" s="39"/>
      <c r="J11" s="39"/>
      <c r="K11" s="29">
        <f t="shared" si="4"/>
        <v>0</v>
      </c>
      <c r="L11" s="16"/>
      <c r="M11" s="16"/>
      <c r="N11" s="16"/>
      <c r="O11" s="16"/>
      <c r="P11" s="16"/>
    </row>
    <row r="12" spans="1:29" x14ac:dyDescent="0.35">
      <c r="A12" s="51" t="s">
        <v>14</v>
      </c>
      <c r="B12" s="28">
        <v>16768402</v>
      </c>
      <c r="C12" s="36"/>
      <c r="D12" s="29">
        <v>95000</v>
      </c>
      <c r="E12" s="47">
        <v>95000</v>
      </c>
      <c r="F12" s="47">
        <v>95000</v>
      </c>
      <c r="G12" s="47">
        <v>95000</v>
      </c>
      <c r="H12" s="39">
        <f>2663573.61+1576861.12+405100</f>
        <v>4645534.7300000004</v>
      </c>
      <c r="I12" s="39">
        <f>255444.44+246400</f>
        <v>501844.44</v>
      </c>
      <c r="J12" s="39">
        <v>81000</v>
      </c>
      <c r="K12" s="29">
        <f t="shared" si="4"/>
        <v>5608379.1700000009</v>
      </c>
      <c r="L12" s="16"/>
      <c r="M12" s="16"/>
      <c r="N12" s="16"/>
      <c r="O12" s="16"/>
      <c r="P12" s="16"/>
    </row>
    <row r="13" spans="1:29" x14ac:dyDescent="0.35">
      <c r="A13" s="51" t="s">
        <v>15</v>
      </c>
      <c r="B13" s="28">
        <v>450000</v>
      </c>
      <c r="C13" s="36"/>
      <c r="D13" s="47"/>
      <c r="E13" s="47">
        <v>36287.11</v>
      </c>
      <c r="F13" s="47">
        <v>22919.97</v>
      </c>
      <c r="G13" s="47">
        <v>20603.919999999998</v>
      </c>
      <c r="H13" s="39">
        <v>37360.730000000003</v>
      </c>
      <c r="I13" s="39">
        <v>28675.63</v>
      </c>
      <c r="J13" s="39">
        <v>9039.7000000000007</v>
      </c>
      <c r="K13" s="29">
        <f t="shared" si="4"/>
        <v>154887.06000000003</v>
      </c>
      <c r="L13" s="16"/>
      <c r="M13" s="16"/>
      <c r="N13" s="16"/>
      <c r="O13" s="16"/>
      <c r="P13" s="16"/>
    </row>
    <row r="14" spans="1:29" x14ac:dyDescent="0.35">
      <c r="A14" s="51" t="s">
        <v>16</v>
      </c>
      <c r="B14" s="28"/>
      <c r="C14" s="36"/>
      <c r="D14" s="47"/>
      <c r="E14" s="47"/>
      <c r="F14" s="47"/>
      <c r="G14" s="47"/>
      <c r="H14" s="39"/>
      <c r="I14" s="39"/>
      <c r="J14" s="39"/>
      <c r="K14" s="29">
        <f t="shared" si="4"/>
        <v>0</v>
      </c>
      <c r="L14" s="16"/>
      <c r="M14" s="16"/>
      <c r="N14" s="16"/>
      <c r="O14" s="16"/>
      <c r="P14" s="16"/>
    </row>
    <row r="15" spans="1:29" x14ac:dyDescent="0.35">
      <c r="A15" s="51" t="s">
        <v>17</v>
      </c>
      <c r="B15" s="28">
        <v>13634313</v>
      </c>
      <c r="C15" s="36"/>
      <c r="D15" s="47">
        <f>514909.85+336639.03+66515.68</f>
        <v>918064.56</v>
      </c>
      <c r="E15" s="47">
        <f>520396.45+359521.87+66515.68</f>
        <v>946434</v>
      </c>
      <c r="F15" s="47">
        <f>510257.34+355201.1+66515.68</f>
        <v>931974.11999999988</v>
      </c>
      <c r="G15" s="47">
        <f>526284.04+367990.11+66515.7</f>
        <v>960789.85</v>
      </c>
      <c r="H15" s="39">
        <f>568416.46+346437.23+66515.7</f>
        <v>981369.3899999999</v>
      </c>
      <c r="I15" s="39">
        <f>570563.97+375053.31+66515.7</f>
        <v>1012132.98</v>
      </c>
      <c r="J15" s="39">
        <f>558925.96+351096.73+76486.7</f>
        <v>986509.3899999999</v>
      </c>
      <c r="K15" s="29">
        <f t="shared" si="4"/>
        <v>6737274.29</v>
      </c>
      <c r="L15" s="16"/>
      <c r="M15" s="16"/>
      <c r="N15" s="16"/>
      <c r="O15" s="16"/>
      <c r="P15" s="16"/>
    </row>
    <row r="16" spans="1:29" x14ac:dyDescent="0.35">
      <c r="A16" s="50" t="s">
        <v>18</v>
      </c>
      <c r="B16" s="27">
        <f>SUM(B17:B26)</f>
        <v>17233219</v>
      </c>
      <c r="C16" s="34">
        <f>SUM(C17:C26)</f>
        <v>-1004824</v>
      </c>
      <c r="D16" s="27">
        <f t="shared" ref="D16:P16" si="5">SUM(D17:D26)</f>
        <v>0</v>
      </c>
      <c r="E16" s="27">
        <f t="shared" si="5"/>
        <v>1143667.8</v>
      </c>
      <c r="F16" s="27">
        <f t="shared" si="5"/>
        <v>1312411.17</v>
      </c>
      <c r="G16" s="27">
        <f t="shared" si="5"/>
        <v>969450.67</v>
      </c>
      <c r="H16" s="38">
        <f t="shared" si="5"/>
        <v>1565847.67</v>
      </c>
      <c r="I16" s="38">
        <f>SUM(I17:I26)</f>
        <v>721983.88</v>
      </c>
      <c r="J16" s="38">
        <f t="shared" ref="J16:K16" si="6">SUM(J17:J26)</f>
        <v>1491286.26</v>
      </c>
      <c r="K16" s="27">
        <f t="shared" si="6"/>
        <v>7204647.4499999993</v>
      </c>
      <c r="L16" s="15">
        <f t="shared" si="5"/>
        <v>0</v>
      </c>
      <c r="M16" s="15">
        <f t="shared" si="5"/>
        <v>0</v>
      </c>
      <c r="N16" s="15">
        <f t="shared" si="5"/>
        <v>0</v>
      </c>
      <c r="O16" s="15">
        <f t="shared" si="5"/>
        <v>0</v>
      </c>
      <c r="P16" s="15">
        <f t="shared" si="5"/>
        <v>0</v>
      </c>
      <c r="Q16" s="9">
        <f>SUM(Q17:Q26)</f>
        <v>0</v>
      </c>
      <c r="R16" s="7"/>
    </row>
    <row r="17" spans="1:18" x14ac:dyDescent="0.35">
      <c r="A17" s="51" t="s">
        <v>19</v>
      </c>
      <c r="B17" s="28">
        <v>6930000</v>
      </c>
      <c r="C17" s="31">
        <v>-779600</v>
      </c>
      <c r="D17" s="47"/>
      <c r="E17" s="47">
        <v>597784.4</v>
      </c>
      <c r="F17" s="47">
        <v>298892.2</v>
      </c>
      <c r="G17" s="47">
        <v>298892.2</v>
      </c>
      <c r="H17" s="39">
        <v>766011.63</v>
      </c>
      <c r="I17" s="39">
        <v>130085.43</v>
      </c>
      <c r="J17" s="39">
        <v>733262.39</v>
      </c>
      <c r="K17" s="29">
        <f t="shared" si="4"/>
        <v>2824928.25</v>
      </c>
      <c r="L17" s="16"/>
      <c r="M17" s="16"/>
      <c r="N17" s="16"/>
      <c r="O17" s="16"/>
      <c r="P17" s="16"/>
      <c r="R17" s="10"/>
    </row>
    <row r="18" spans="1:18" x14ac:dyDescent="0.35">
      <c r="A18" s="51" t="s">
        <v>20</v>
      </c>
      <c r="B18" s="28">
        <v>306268</v>
      </c>
      <c r="C18" s="31">
        <f>70299+293000-25000</f>
        <v>338299</v>
      </c>
      <c r="D18" s="47"/>
      <c r="E18" s="47"/>
      <c r="F18" s="47">
        <v>71780.88</v>
      </c>
      <c r="G18" s="47">
        <f>44604+16860.31</f>
        <v>61464.31</v>
      </c>
      <c r="H18" s="39"/>
      <c r="I18" s="39">
        <v>61148.21</v>
      </c>
      <c r="J18" s="39"/>
      <c r="K18" s="29">
        <f t="shared" si="4"/>
        <v>194393.4</v>
      </c>
      <c r="L18" s="16"/>
      <c r="M18" s="16"/>
      <c r="N18" s="16"/>
      <c r="O18" s="16"/>
      <c r="P18" s="16"/>
    </row>
    <row r="19" spans="1:18" x14ac:dyDescent="0.35">
      <c r="A19" s="51" t="s">
        <v>21</v>
      </c>
      <c r="B19" s="28">
        <v>720298</v>
      </c>
      <c r="C19" s="31">
        <f>-100000-125000</f>
        <v>-225000</v>
      </c>
      <c r="D19" s="47"/>
      <c r="E19" s="47"/>
      <c r="F19" s="47"/>
      <c r="G19" s="47"/>
      <c r="H19" s="39"/>
      <c r="I19" s="39"/>
      <c r="J19" s="39"/>
      <c r="K19" s="29">
        <f t="shared" si="4"/>
        <v>0</v>
      </c>
      <c r="L19" s="16"/>
      <c r="M19" s="16"/>
      <c r="N19" s="16"/>
      <c r="O19" s="16"/>
      <c r="P19" s="16"/>
    </row>
    <row r="20" spans="1:18" x14ac:dyDescent="0.35">
      <c r="A20" s="51" t="s">
        <v>22</v>
      </c>
      <c r="B20" s="28">
        <v>569775</v>
      </c>
      <c r="C20" s="31">
        <v>-346703.41</v>
      </c>
      <c r="D20" s="47"/>
      <c r="E20" s="47"/>
      <c r="F20" s="47"/>
      <c r="G20" s="47"/>
      <c r="H20" s="39"/>
      <c r="I20" s="39"/>
      <c r="J20" s="39">
        <v>112300</v>
      </c>
      <c r="K20" s="29">
        <f t="shared" si="4"/>
        <v>112300</v>
      </c>
      <c r="L20" s="16"/>
      <c r="M20" s="16"/>
      <c r="N20" s="16"/>
      <c r="O20" s="16"/>
      <c r="P20" s="16"/>
    </row>
    <row r="21" spans="1:18" x14ac:dyDescent="0.35">
      <c r="A21" s="51" t="s">
        <v>23</v>
      </c>
      <c r="B21" s="28">
        <v>694777</v>
      </c>
      <c r="C21" s="31">
        <v>828287.41</v>
      </c>
      <c r="D21" s="47"/>
      <c r="E21" s="47"/>
      <c r="F21" s="47"/>
      <c r="G21" s="47"/>
      <c r="H21" s="39">
        <f>168385.41+200000+90000</f>
        <v>458385.41000000003</v>
      </c>
      <c r="I21" s="39">
        <v>138768</v>
      </c>
      <c r="J21" s="39"/>
      <c r="K21" s="29">
        <f t="shared" si="4"/>
        <v>597153.41</v>
      </c>
      <c r="L21" s="16"/>
      <c r="M21" s="16"/>
      <c r="N21" s="16"/>
      <c r="O21" s="16"/>
      <c r="P21" s="16"/>
    </row>
    <row r="22" spans="1:18" x14ac:dyDescent="0.35">
      <c r="A22" s="51" t="s">
        <v>24</v>
      </c>
      <c r="B22" s="28">
        <v>500000</v>
      </c>
      <c r="C22" s="31">
        <v>-112190</v>
      </c>
      <c r="D22" s="48"/>
      <c r="E22" s="47"/>
      <c r="F22" s="47">
        <v>387808.08</v>
      </c>
      <c r="G22" s="47"/>
      <c r="H22" s="39"/>
      <c r="I22" s="39"/>
      <c r="J22" s="39"/>
      <c r="K22" s="29">
        <f t="shared" si="4"/>
        <v>387808.08</v>
      </c>
      <c r="L22" s="16"/>
      <c r="M22" s="16"/>
      <c r="N22" s="16"/>
      <c r="O22" s="16"/>
      <c r="P22" s="16"/>
    </row>
    <row r="23" spans="1:18" ht="42" x14ac:dyDescent="0.35">
      <c r="A23" s="51" t="s">
        <v>25</v>
      </c>
      <c r="B23" s="28">
        <v>465072</v>
      </c>
      <c r="C23" s="31">
        <f>-40298+95000+1568</f>
        <v>56270</v>
      </c>
      <c r="D23" s="47"/>
      <c r="E23" s="47">
        <v>21050.16</v>
      </c>
      <c r="F23" s="47">
        <v>58536.9</v>
      </c>
      <c r="G23" s="47">
        <v>128745.03</v>
      </c>
      <c r="H23" s="39">
        <v>48144</v>
      </c>
      <c r="I23" s="39">
        <v>19755.61</v>
      </c>
      <c r="J23" s="39">
        <f>13550.41+30816.74</f>
        <v>44367.15</v>
      </c>
      <c r="K23" s="29">
        <f t="shared" si="4"/>
        <v>320598.85000000003</v>
      </c>
      <c r="L23" s="16"/>
      <c r="M23" s="16"/>
      <c r="N23" s="16"/>
      <c r="O23" s="16"/>
      <c r="P23" s="16"/>
    </row>
    <row r="24" spans="1:18" x14ac:dyDescent="0.35">
      <c r="A24" s="51" t="s">
        <v>26</v>
      </c>
      <c r="B24" s="28">
        <v>6692552</v>
      </c>
      <c r="C24" s="31">
        <v>-1398710</v>
      </c>
      <c r="D24" s="47"/>
      <c r="E24" s="47">
        <f>418043.43+50000+56789.81</f>
        <v>524833.24</v>
      </c>
      <c r="F24" s="47">
        <f>266076.82+50000+56789.81</f>
        <v>372866.63</v>
      </c>
      <c r="G24" s="47">
        <f>124876.82+100000+56789.81</f>
        <v>281666.63</v>
      </c>
      <c r="H24" s="39">
        <f>88516.82+100000+104789.81</f>
        <v>293306.63</v>
      </c>
      <c r="I24" s="39">
        <f>167097.01+55000+150129.62</f>
        <v>372226.63</v>
      </c>
      <c r="J24" s="39">
        <f>317353.82+94789.9</f>
        <v>412143.72</v>
      </c>
      <c r="K24" s="29">
        <f t="shared" si="4"/>
        <v>2257043.4799999995</v>
      </c>
      <c r="L24" s="16"/>
      <c r="M24" s="16"/>
      <c r="N24" s="16"/>
      <c r="O24" s="16"/>
      <c r="P24" s="16"/>
    </row>
    <row r="25" spans="1:18" x14ac:dyDescent="0.35">
      <c r="A25" s="51" t="s">
        <v>27</v>
      </c>
      <c r="B25" s="28">
        <f>SUM(C25:D25)</f>
        <v>0</v>
      </c>
      <c r="C25" s="31"/>
      <c r="D25" s="47"/>
      <c r="E25" s="47"/>
      <c r="F25" s="47"/>
      <c r="G25" s="47"/>
      <c r="H25" s="39"/>
      <c r="I25" s="39"/>
      <c r="J25" s="39"/>
      <c r="K25" s="29">
        <f t="shared" si="4"/>
        <v>0</v>
      </c>
      <c r="L25" s="16"/>
      <c r="M25" s="16"/>
      <c r="N25" s="16"/>
      <c r="O25" s="16"/>
      <c r="P25" s="16"/>
    </row>
    <row r="26" spans="1:18" x14ac:dyDescent="0.35">
      <c r="A26" s="51" t="s">
        <v>28</v>
      </c>
      <c r="B26" s="28">
        <v>354477</v>
      </c>
      <c r="C26" s="31">
        <v>634523</v>
      </c>
      <c r="D26" s="47"/>
      <c r="E26" s="47"/>
      <c r="F26" s="47">
        <v>122526.48</v>
      </c>
      <c r="G26" s="47">
        <f>162692.5+35990</f>
        <v>198682.5</v>
      </c>
      <c r="H26" s="39"/>
      <c r="I26" s="39"/>
      <c r="J26" s="39">
        <f>112985+76228</f>
        <v>189213</v>
      </c>
      <c r="K26" s="29">
        <f t="shared" si="4"/>
        <v>510421.98</v>
      </c>
      <c r="L26" s="16"/>
      <c r="M26" s="16"/>
      <c r="N26" s="16"/>
      <c r="O26" s="16"/>
      <c r="P26" s="16"/>
    </row>
    <row r="27" spans="1:18" x14ac:dyDescent="0.35">
      <c r="A27" s="50" t="s">
        <v>29</v>
      </c>
      <c r="B27" s="27">
        <f>SUM(B28:B36)</f>
        <v>20573317</v>
      </c>
      <c r="C27" s="34">
        <f>SUM(C28:C36)</f>
        <v>-7248215</v>
      </c>
      <c r="D27" s="27">
        <f t="shared" ref="D27:P27" si="7">SUM(D28:D36)</f>
        <v>0</v>
      </c>
      <c r="E27" s="27">
        <f t="shared" si="7"/>
        <v>0</v>
      </c>
      <c r="F27" s="27">
        <f t="shared" si="7"/>
        <v>1301233.96</v>
      </c>
      <c r="G27" s="27">
        <f t="shared" si="7"/>
        <v>307301.78999999998</v>
      </c>
      <c r="H27" s="38">
        <f t="shared" si="7"/>
        <v>329300.32</v>
      </c>
      <c r="I27" s="38">
        <f t="shared" si="7"/>
        <v>701926.66</v>
      </c>
      <c r="J27" s="38">
        <f t="shared" si="7"/>
        <v>521763.42</v>
      </c>
      <c r="K27" s="27">
        <f t="shared" si="7"/>
        <v>3161526.15</v>
      </c>
      <c r="L27" s="15">
        <f t="shared" si="7"/>
        <v>0</v>
      </c>
      <c r="M27" s="15">
        <f t="shared" si="7"/>
        <v>0</v>
      </c>
      <c r="N27" s="15">
        <f t="shared" si="7"/>
        <v>0</v>
      </c>
      <c r="O27" s="15">
        <f t="shared" si="7"/>
        <v>0</v>
      </c>
      <c r="P27" s="15">
        <f t="shared" si="7"/>
        <v>0</v>
      </c>
    </row>
    <row r="28" spans="1:18" x14ac:dyDescent="0.35">
      <c r="A28" s="51" t="s">
        <v>30</v>
      </c>
      <c r="B28" s="28">
        <v>409761</v>
      </c>
      <c r="C28" s="31">
        <v>40239</v>
      </c>
      <c r="D28" s="47"/>
      <c r="E28" s="47"/>
      <c r="F28" s="47">
        <v>151226</v>
      </c>
      <c r="G28" s="47"/>
      <c r="H28" s="39">
        <v>11522.45</v>
      </c>
      <c r="I28" s="39">
        <v>14602.5</v>
      </c>
      <c r="J28" s="39"/>
      <c r="K28" s="29">
        <f t="shared" si="4"/>
        <v>177350.95</v>
      </c>
      <c r="L28" s="16"/>
      <c r="M28" s="16"/>
      <c r="N28" s="16"/>
      <c r="O28" s="16"/>
      <c r="P28" s="16"/>
    </row>
    <row r="29" spans="1:18" x14ac:dyDescent="0.35">
      <c r="A29" s="51" t="s">
        <v>31</v>
      </c>
      <c r="B29" s="28">
        <v>207700</v>
      </c>
      <c r="C29" s="31">
        <v>672300</v>
      </c>
      <c r="D29" s="47"/>
      <c r="E29" s="47"/>
      <c r="F29" s="47"/>
      <c r="G29" s="47"/>
      <c r="H29" s="39"/>
      <c r="I29" s="39"/>
      <c r="J29" s="39"/>
      <c r="K29" s="29">
        <f t="shared" si="4"/>
        <v>0</v>
      </c>
      <c r="L29" s="16"/>
      <c r="M29" s="16"/>
      <c r="N29" s="16"/>
      <c r="O29" s="16"/>
      <c r="P29" s="16"/>
    </row>
    <row r="30" spans="1:18" x14ac:dyDescent="0.35">
      <c r="A30" s="51" t="s">
        <v>32</v>
      </c>
      <c r="B30" s="28">
        <v>505611</v>
      </c>
      <c r="C30" s="31">
        <v>99389</v>
      </c>
      <c r="D30" s="47"/>
      <c r="E30" s="47"/>
      <c r="F30" s="47">
        <v>141747.03</v>
      </c>
      <c r="G30" s="47"/>
      <c r="H30" s="39">
        <v>104725</v>
      </c>
      <c r="I30" s="39">
        <v>5896.28</v>
      </c>
      <c r="J30" s="39">
        <v>34345</v>
      </c>
      <c r="K30" s="29">
        <f t="shared" si="4"/>
        <v>286713.31</v>
      </c>
      <c r="L30" s="16"/>
      <c r="M30" s="16"/>
      <c r="N30" s="16"/>
      <c r="O30" s="16"/>
      <c r="P30" s="16"/>
    </row>
    <row r="31" spans="1:18" x14ac:dyDescent="0.35">
      <c r="A31" s="51" t="s">
        <v>33</v>
      </c>
      <c r="B31" s="28">
        <v>20000</v>
      </c>
      <c r="C31" s="31"/>
      <c r="D31" s="47"/>
      <c r="E31" s="47"/>
      <c r="F31" s="47"/>
      <c r="G31" s="47"/>
      <c r="H31" s="39"/>
      <c r="I31" s="39"/>
      <c r="J31" s="39"/>
      <c r="K31" s="29">
        <f t="shared" si="4"/>
        <v>0</v>
      </c>
      <c r="L31" s="16"/>
      <c r="M31" s="16"/>
      <c r="N31" s="16"/>
      <c r="O31" s="16"/>
      <c r="P31" s="16"/>
    </row>
    <row r="32" spans="1:18" x14ac:dyDescent="0.35">
      <c r="A32" s="51" t="s">
        <v>34</v>
      </c>
      <c r="B32" s="28">
        <v>148954</v>
      </c>
      <c r="C32" s="31">
        <f>1046-14857</f>
        <v>-13811</v>
      </c>
      <c r="D32" s="47"/>
      <c r="E32" s="47"/>
      <c r="F32" s="47"/>
      <c r="G32" s="47"/>
      <c r="H32" s="39"/>
      <c r="I32" s="39"/>
      <c r="J32" s="39"/>
      <c r="K32" s="29">
        <f t="shared" si="4"/>
        <v>0</v>
      </c>
      <c r="L32" s="16"/>
      <c r="M32" s="16"/>
      <c r="N32" s="16"/>
      <c r="O32" s="16"/>
      <c r="P32" s="16"/>
    </row>
    <row r="33" spans="1:16" x14ac:dyDescent="0.35">
      <c r="A33" s="51" t="s">
        <v>35</v>
      </c>
      <c r="B33" s="28">
        <v>183789</v>
      </c>
      <c r="C33" s="31">
        <v>-30000</v>
      </c>
      <c r="D33" s="47"/>
      <c r="E33" s="47"/>
      <c r="F33" s="47"/>
      <c r="G33" s="47">
        <v>10531</v>
      </c>
      <c r="H33" s="39"/>
      <c r="I33" s="39"/>
      <c r="J33" s="39">
        <v>10476.73</v>
      </c>
      <c r="K33" s="29">
        <f t="shared" si="4"/>
        <v>21007.73</v>
      </c>
      <c r="L33" s="16"/>
      <c r="M33" s="16"/>
      <c r="N33" s="16"/>
      <c r="O33" s="16"/>
      <c r="P33" s="16"/>
    </row>
    <row r="34" spans="1:16" x14ac:dyDescent="0.35">
      <c r="A34" s="51" t="s">
        <v>36</v>
      </c>
      <c r="B34" s="28">
        <v>8792549</v>
      </c>
      <c r="C34" s="31">
        <f>-1699327+1013500+730049</f>
        <v>44222</v>
      </c>
      <c r="D34" s="47"/>
      <c r="E34" s="47"/>
      <c r="F34" s="29">
        <v>750930</v>
      </c>
      <c r="G34" s="47"/>
      <c r="H34" s="39"/>
      <c r="I34" s="39">
        <v>366979.99</v>
      </c>
      <c r="J34" s="39">
        <v>91200.08</v>
      </c>
      <c r="K34" s="29">
        <f t="shared" si="4"/>
        <v>1209110.07</v>
      </c>
      <c r="L34" s="16"/>
      <c r="M34" s="16"/>
      <c r="N34" s="16"/>
      <c r="O34" s="16"/>
      <c r="P34" s="16"/>
    </row>
    <row r="35" spans="1:16" ht="42" x14ac:dyDescent="0.35">
      <c r="A35" s="51" t="s">
        <v>37</v>
      </c>
      <c r="B35" s="28"/>
      <c r="C35" s="31"/>
      <c r="D35" s="47"/>
      <c r="E35" s="47"/>
      <c r="F35" s="47"/>
      <c r="G35" s="47"/>
      <c r="H35" s="39"/>
      <c r="I35" s="39"/>
      <c r="J35" s="39"/>
      <c r="K35" s="29">
        <f t="shared" si="4"/>
        <v>0</v>
      </c>
      <c r="L35" s="16"/>
      <c r="M35" s="16"/>
      <c r="N35" s="16"/>
      <c r="O35" s="16"/>
      <c r="P35" s="16"/>
    </row>
    <row r="36" spans="1:16" x14ac:dyDescent="0.35">
      <c r="A36" s="51" t="s">
        <v>38</v>
      </c>
      <c r="B36" s="28">
        <v>10304953</v>
      </c>
      <c r="C36" s="31">
        <f>-8167122+106568</f>
        <v>-8060554</v>
      </c>
      <c r="D36" s="47"/>
      <c r="E36" s="47"/>
      <c r="F36" s="47">
        <v>257330.93</v>
      </c>
      <c r="G36" s="47">
        <v>296770.78999999998</v>
      </c>
      <c r="H36" s="39">
        <v>213052.87</v>
      </c>
      <c r="I36" s="39">
        <v>314447.89</v>
      </c>
      <c r="J36" s="39">
        <v>385741.61</v>
      </c>
      <c r="K36" s="29">
        <f t="shared" si="4"/>
        <v>1467344.0899999999</v>
      </c>
      <c r="L36" s="16"/>
      <c r="M36" s="16"/>
      <c r="N36" s="16"/>
      <c r="O36" s="16"/>
      <c r="P36" s="16"/>
    </row>
    <row r="37" spans="1:16" x14ac:dyDescent="0.35">
      <c r="A37" s="50" t="s">
        <v>39</v>
      </c>
      <c r="B37" s="27">
        <f t="shared" ref="B37:K37" si="8">SUM(B38:B44)</f>
        <v>930148</v>
      </c>
      <c r="C37" s="34">
        <f t="shared" si="8"/>
        <v>-352237.5</v>
      </c>
      <c r="D37" s="27">
        <f t="shared" si="8"/>
        <v>0</v>
      </c>
      <c r="E37" s="27">
        <f t="shared" si="8"/>
        <v>0</v>
      </c>
      <c r="F37" s="27">
        <f t="shared" si="8"/>
        <v>168757</v>
      </c>
      <c r="G37" s="27">
        <f t="shared" si="8"/>
        <v>79920</v>
      </c>
      <c r="H37" s="27">
        <f t="shared" si="8"/>
        <v>0</v>
      </c>
      <c r="I37" s="27">
        <f t="shared" si="8"/>
        <v>0</v>
      </c>
      <c r="J37" s="27">
        <f t="shared" si="8"/>
        <v>0</v>
      </c>
      <c r="K37" s="27">
        <f t="shared" si="8"/>
        <v>248677</v>
      </c>
      <c r="L37" s="15"/>
      <c r="M37" s="15"/>
      <c r="N37" s="15"/>
      <c r="O37" s="15"/>
      <c r="P37" s="15"/>
    </row>
    <row r="38" spans="1:16" x14ac:dyDescent="0.35">
      <c r="A38" s="51" t="s">
        <v>40</v>
      </c>
      <c r="B38" s="28">
        <v>930148</v>
      </c>
      <c r="C38" s="31">
        <v>-352237.5</v>
      </c>
      <c r="D38" s="47"/>
      <c r="E38" s="47"/>
      <c r="F38" s="47">
        <f>30000+70000</f>
        <v>100000</v>
      </c>
      <c r="G38" s="47">
        <v>79920</v>
      </c>
      <c r="H38" s="39"/>
      <c r="I38" s="39"/>
      <c r="J38" s="39"/>
      <c r="K38" s="29">
        <f t="shared" si="4"/>
        <v>179920</v>
      </c>
      <c r="L38" s="16"/>
      <c r="M38" s="16"/>
      <c r="N38" s="16"/>
      <c r="O38" s="16"/>
      <c r="P38" s="16"/>
    </row>
    <row r="39" spans="1:16" x14ac:dyDescent="0.35">
      <c r="A39" s="51" t="s">
        <v>41</v>
      </c>
      <c r="B39" s="28"/>
      <c r="C39" s="36">
        <v>0</v>
      </c>
      <c r="D39" s="47"/>
      <c r="E39" s="47"/>
      <c r="F39" s="47"/>
      <c r="G39" s="47"/>
      <c r="H39" s="39"/>
      <c r="I39" s="39"/>
      <c r="J39" s="39"/>
      <c r="K39" s="29">
        <f t="shared" si="4"/>
        <v>0</v>
      </c>
      <c r="L39" s="16"/>
      <c r="M39" s="16"/>
      <c r="N39" s="16"/>
      <c r="O39" s="16"/>
      <c r="P39" s="16"/>
    </row>
    <row r="40" spans="1:16" x14ac:dyDescent="0.35">
      <c r="A40" s="51" t="s">
        <v>42</v>
      </c>
      <c r="B40" s="28"/>
      <c r="C40" s="36">
        <v>0</v>
      </c>
      <c r="D40" s="47"/>
      <c r="E40" s="47"/>
      <c r="F40" s="47"/>
      <c r="G40" s="47"/>
      <c r="H40" s="39"/>
      <c r="I40" s="39"/>
      <c r="J40" s="39"/>
      <c r="K40" s="29">
        <f t="shared" si="4"/>
        <v>0</v>
      </c>
      <c r="L40" s="16"/>
      <c r="M40" s="16"/>
      <c r="N40" s="16"/>
      <c r="O40" s="16"/>
      <c r="P40" s="16"/>
    </row>
    <row r="41" spans="1:16" x14ac:dyDescent="0.35">
      <c r="A41" s="51" t="s">
        <v>43</v>
      </c>
      <c r="B41" s="28"/>
      <c r="C41" s="36">
        <v>0</v>
      </c>
      <c r="D41" s="47"/>
      <c r="E41" s="47"/>
      <c r="F41" s="47"/>
      <c r="G41" s="47"/>
      <c r="H41" s="39"/>
      <c r="I41" s="39"/>
      <c r="J41" s="39"/>
      <c r="K41" s="29">
        <f t="shared" si="4"/>
        <v>0</v>
      </c>
      <c r="L41" s="16"/>
      <c r="M41" s="16"/>
      <c r="N41" s="16"/>
      <c r="O41" s="16"/>
      <c r="P41" s="16"/>
    </row>
    <row r="42" spans="1:16" x14ac:dyDescent="0.35">
      <c r="A42" s="51" t="s">
        <v>44</v>
      </c>
      <c r="B42" s="28"/>
      <c r="C42" s="36">
        <v>0</v>
      </c>
      <c r="D42" s="47">
        <v>0</v>
      </c>
      <c r="E42" s="47">
        <v>0</v>
      </c>
      <c r="F42" s="47"/>
      <c r="G42" s="47"/>
      <c r="H42" s="39"/>
      <c r="I42" s="39"/>
      <c r="J42" s="39"/>
      <c r="K42" s="29">
        <f t="shared" si="4"/>
        <v>0</v>
      </c>
      <c r="L42" s="16"/>
      <c r="M42" s="16"/>
      <c r="N42" s="16"/>
      <c r="O42" s="16"/>
      <c r="P42" s="16"/>
    </row>
    <row r="43" spans="1:16" x14ac:dyDescent="0.35">
      <c r="A43" s="51" t="s">
        <v>45</v>
      </c>
      <c r="B43" s="28"/>
      <c r="C43" s="36">
        <v>0</v>
      </c>
      <c r="D43" s="47">
        <v>0</v>
      </c>
      <c r="E43" s="47">
        <v>0</v>
      </c>
      <c r="F43" s="47">
        <f>50000+18757</f>
        <v>68757</v>
      </c>
      <c r="G43" s="47"/>
      <c r="H43" s="39"/>
      <c r="I43" s="39"/>
      <c r="J43" s="39"/>
      <c r="K43" s="29">
        <f t="shared" si="4"/>
        <v>68757</v>
      </c>
      <c r="L43" s="16"/>
      <c r="M43" s="16"/>
      <c r="N43" s="16"/>
      <c r="O43" s="16"/>
      <c r="P43" s="16"/>
    </row>
    <row r="44" spans="1:16" x14ac:dyDescent="0.35">
      <c r="A44" s="51" t="s">
        <v>46</v>
      </c>
      <c r="B44" s="28"/>
      <c r="C44" s="36">
        <v>0</v>
      </c>
      <c r="D44" s="47">
        <v>0</v>
      </c>
      <c r="E44" s="47">
        <v>0</v>
      </c>
      <c r="F44" s="47"/>
      <c r="G44" s="47"/>
      <c r="H44" s="39"/>
      <c r="I44" s="39"/>
      <c r="J44" s="39"/>
      <c r="K44" s="29">
        <f t="shared" si="4"/>
        <v>0</v>
      </c>
      <c r="L44" s="16"/>
      <c r="M44" s="16"/>
      <c r="N44" s="16"/>
      <c r="O44" s="16"/>
      <c r="P44" s="16"/>
    </row>
    <row r="45" spans="1:16" x14ac:dyDescent="0.35">
      <c r="A45" s="50" t="s">
        <v>47</v>
      </c>
      <c r="B45" s="28"/>
      <c r="C45" s="36">
        <v>0</v>
      </c>
      <c r="D45" s="47">
        <v>0</v>
      </c>
      <c r="E45" s="47">
        <v>0</v>
      </c>
      <c r="F45" s="47"/>
      <c r="G45" s="47"/>
      <c r="H45" s="39"/>
      <c r="I45" s="39"/>
      <c r="J45" s="39"/>
      <c r="K45" s="29">
        <f t="shared" si="4"/>
        <v>0</v>
      </c>
      <c r="L45" s="16"/>
      <c r="M45" s="16"/>
      <c r="N45" s="16"/>
      <c r="O45" s="16"/>
      <c r="P45" s="16"/>
    </row>
    <row r="46" spans="1:16" x14ac:dyDescent="0.35">
      <c r="A46" s="51" t="s">
        <v>48</v>
      </c>
      <c r="B46" s="28"/>
      <c r="C46" s="36">
        <v>0</v>
      </c>
      <c r="D46" s="47">
        <v>0</v>
      </c>
      <c r="E46" s="47">
        <v>0</v>
      </c>
      <c r="F46" s="47"/>
      <c r="G46" s="47"/>
      <c r="H46" s="39"/>
      <c r="I46" s="39"/>
      <c r="J46" s="39"/>
      <c r="K46" s="29">
        <f t="shared" si="4"/>
        <v>0</v>
      </c>
      <c r="L46" s="16"/>
      <c r="M46" s="16"/>
      <c r="N46" s="16"/>
      <c r="O46" s="16"/>
      <c r="P46" s="16"/>
    </row>
    <row r="47" spans="1:16" x14ac:dyDescent="0.35">
      <c r="A47" s="51" t="s">
        <v>49</v>
      </c>
      <c r="B47" s="28"/>
      <c r="C47" s="36">
        <v>0</v>
      </c>
      <c r="D47" s="47">
        <v>0</v>
      </c>
      <c r="E47" s="47">
        <v>0</v>
      </c>
      <c r="F47" s="47"/>
      <c r="G47" s="47"/>
      <c r="H47" s="39"/>
      <c r="I47" s="39"/>
      <c r="J47" s="39"/>
      <c r="K47" s="29">
        <f t="shared" si="4"/>
        <v>0</v>
      </c>
      <c r="L47" s="16"/>
      <c r="M47" s="16"/>
      <c r="N47" s="16"/>
      <c r="O47" s="16"/>
      <c r="P47" s="16"/>
    </row>
    <row r="48" spans="1:16" x14ac:dyDescent="0.35">
      <c r="A48" s="51" t="s">
        <v>50</v>
      </c>
      <c r="B48" s="28"/>
      <c r="C48" s="36">
        <v>0</v>
      </c>
      <c r="D48" s="47">
        <v>0</v>
      </c>
      <c r="E48" s="47">
        <v>0</v>
      </c>
      <c r="F48" s="47"/>
      <c r="G48" s="47"/>
      <c r="H48" s="39"/>
      <c r="I48" s="39"/>
      <c r="J48" s="39"/>
      <c r="K48" s="29">
        <f t="shared" si="4"/>
        <v>0</v>
      </c>
      <c r="L48" s="16"/>
      <c r="M48" s="16"/>
      <c r="N48" s="16"/>
      <c r="O48" s="16"/>
      <c r="P48" s="16"/>
    </row>
    <row r="49" spans="1:16" x14ac:dyDescent="0.35">
      <c r="A49" s="51" t="s">
        <v>51</v>
      </c>
      <c r="B49" s="28"/>
      <c r="C49" s="36">
        <v>0</v>
      </c>
      <c r="D49" s="47">
        <v>0</v>
      </c>
      <c r="E49" s="47">
        <v>0</v>
      </c>
      <c r="F49" s="47"/>
      <c r="G49" s="47"/>
      <c r="H49" s="39"/>
      <c r="I49" s="39"/>
      <c r="J49" s="39"/>
      <c r="K49" s="29">
        <f t="shared" si="4"/>
        <v>0</v>
      </c>
      <c r="L49" s="16"/>
      <c r="M49" s="16"/>
      <c r="N49" s="16"/>
      <c r="O49" s="16"/>
      <c r="P49" s="16"/>
    </row>
    <row r="50" spans="1:16" x14ac:dyDescent="0.35">
      <c r="A50" s="51" t="s">
        <v>52</v>
      </c>
      <c r="B50" s="28"/>
      <c r="C50" s="36">
        <v>0</v>
      </c>
      <c r="D50" s="47">
        <v>0</v>
      </c>
      <c r="E50" s="47">
        <v>0</v>
      </c>
      <c r="F50" s="47"/>
      <c r="G50" s="47"/>
      <c r="H50" s="39"/>
      <c r="I50" s="39"/>
      <c r="J50" s="39"/>
      <c r="K50" s="29">
        <f t="shared" si="4"/>
        <v>0</v>
      </c>
      <c r="L50" s="16"/>
      <c r="M50" s="16"/>
      <c r="N50" s="16"/>
      <c r="O50" s="16"/>
      <c r="P50" s="16"/>
    </row>
    <row r="51" spans="1:16" x14ac:dyDescent="0.35">
      <c r="A51" s="51" t="s">
        <v>53</v>
      </c>
      <c r="B51" s="28"/>
      <c r="C51" s="36">
        <v>0</v>
      </c>
      <c r="D51" s="47">
        <v>0</v>
      </c>
      <c r="E51" s="47">
        <v>0</v>
      </c>
      <c r="F51" s="47"/>
      <c r="G51" s="47"/>
      <c r="H51" s="39"/>
      <c r="I51" s="39"/>
      <c r="J51" s="39"/>
      <c r="K51" s="29">
        <f t="shared" si="4"/>
        <v>0</v>
      </c>
      <c r="L51" s="16"/>
      <c r="M51" s="16"/>
      <c r="N51" s="16"/>
      <c r="O51" s="16"/>
      <c r="P51" s="16"/>
    </row>
    <row r="52" spans="1:16" x14ac:dyDescent="0.35">
      <c r="A52" s="50" t="s">
        <v>54</v>
      </c>
      <c r="B52" s="27">
        <f>SUM(B53:B61)</f>
        <v>9194118</v>
      </c>
      <c r="C52" s="34">
        <f>SUM(C53:C61)</f>
        <v>-1537712.5</v>
      </c>
      <c r="D52" s="27">
        <f t="shared" ref="D52:P52" si="9">SUM(D53:D61)</f>
        <v>0</v>
      </c>
      <c r="E52" s="27">
        <f t="shared" si="9"/>
        <v>0</v>
      </c>
      <c r="F52" s="27">
        <f t="shared" si="9"/>
        <v>17818</v>
      </c>
      <c r="G52" s="27">
        <f t="shared" si="9"/>
        <v>0</v>
      </c>
      <c r="H52" s="38">
        <f t="shared" si="9"/>
        <v>149348.76</v>
      </c>
      <c r="I52" s="38">
        <f>SUM(I53:I61)</f>
        <v>20650</v>
      </c>
      <c r="J52" s="38">
        <f>SUM(J53:J61)</f>
        <v>1056697.68</v>
      </c>
      <c r="K52" s="27">
        <f t="shared" ref="K52" si="10">SUM(K53:K61)</f>
        <v>1244514.44</v>
      </c>
      <c r="L52" s="15">
        <f t="shared" si="9"/>
        <v>0</v>
      </c>
      <c r="M52" s="15">
        <f t="shared" si="9"/>
        <v>0</v>
      </c>
      <c r="N52" s="15">
        <f t="shared" si="9"/>
        <v>0</v>
      </c>
      <c r="O52" s="15">
        <f t="shared" si="9"/>
        <v>0</v>
      </c>
      <c r="P52" s="15">
        <f t="shared" si="9"/>
        <v>0</v>
      </c>
    </row>
    <row r="53" spans="1:16" x14ac:dyDescent="0.35">
      <c r="A53" s="51" t="s">
        <v>55</v>
      </c>
      <c r="B53" s="28">
        <v>6676722</v>
      </c>
      <c r="C53" s="31">
        <v>-976722</v>
      </c>
      <c r="D53" s="47"/>
      <c r="E53" s="47"/>
      <c r="F53" s="47"/>
      <c r="G53" s="47"/>
      <c r="H53" s="39"/>
      <c r="I53" s="39"/>
      <c r="J53" s="39">
        <v>1056697.68</v>
      </c>
      <c r="K53" s="29">
        <f t="shared" si="4"/>
        <v>1056697.68</v>
      </c>
      <c r="L53" s="16"/>
      <c r="M53" s="16"/>
      <c r="N53" s="16"/>
      <c r="O53" s="16"/>
      <c r="P53" s="16"/>
    </row>
    <row r="54" spans="1:16" x14ac:dyDescent="0.35">
      <c r="A54" s="51" t="s">
        <v>56</v>
      </c>
      <c r="B54" s="28">
        <v>579552</v>
      </c>
      <c r="C54" s="31">
        <v>408433</v>
      </c>
      <c r="D54" s="47"/>
      <c r="E54" s="47"/>
      <c r="F54" s="47">
        <v>17818</v>
      </c>
      <c r="G54" s="47"/>
      <c r="H54" s="39">
        <v>149348.76</v>
      </c>
      <c r="I54" s="39">
        <v>20650</v>
      </c>
      <c r="J54" s="39"/>
      <c r="K54" s="29">
        <f t="shared" si="4"/>
        <v>187816.76</v>
      </c>
      <c r="L54" s="16"/>
      <c r="M54" s="16"/>
      <c r="N54" s="16"/>
      <c r="O54" s="16"/>
      <c r="P54" s="16"/>
    </row>
    <row r="55" spans="1:16" x14ac:dyDescent="0.35">
      <c r="A55" s="51" t="s">
        <v>57</v>
      </c>
      <c r="B55" s="28"/>
      <c r="C55" s="31"/>
      <c r="D55" s="47">
        <v>0</v>
      </c>
      <c r="E55" s="47">
        <v>0</v>
      </c>
      <c r="F55" s="47"/>
      <c r="G55" s="47"/>
      <c r="H55" s="39"/>
      <c r="I55" s="39"/>
      <c r="J55" s="39"/>
      <c r="K55" s="29">
        <f t="shared" si="4"/>
        <v>0</v>
      </c>
      <c r="L55" s="16"/>
      <c r="M55" s="16"/>
      <c r="N55" s="16"/>
      <c r="O55" s="16"/>
      <c r="P55" s="16"/>
    </row>
    <row r="56" spans="1:16" x14ac:dyDescent="0.35">
      <c r="A56" s="51" t="s">
        <v>58</v>
      </c>
      <c r="B56" s="28">
        <v>558977</v>
      </c>
      <c r="C56" s="31">
        <v>-558976.5</v>
      </c>
      <c r="D56" s="47">
        <v>0</v>
      </c>
      <c r="E56" s="47">
        <v>0</v>
      </c>
      <c r="F56" s="47"/>
      <c r="G56" s="47"/>
      <c r="H56" s="39"/>
      <c r="I56" s="39"/>
      <c r="J56" s="39"/>
      <c r="K56" s="29">
        <f t="shared" si="4"/>
        <v>0</v>
      </c>
      <c r="L56" s="16"/>
      <c r="M56" s="16"/>
      <c r="N56" s="16"/>
      <c r="O56" s="16"/>
      <c r="P56" s="16"/>
    </row>
    <row r="57" spans="1:16" x14ac:dyDescent="0.35">
      <c r="A57" s="51" t="s">
        <v>59</v>
      </c>
      <c r="B57" s="28">
        <v>378420</v>
      </c>
      <c r="C57" s="31">
        <v>190000</v>
      </c>
      <c r="D57" s="47">
        <v>0</v>
      </c>
      <c r="E57" s="47">
        <v>0</v>
      </c>
      <c r="F57" s="47"/>
      <c r="G57" s="47"/>
      <c r="H57" s="39"/>
      <c r="I57" s="39"/>
      <c r="J57" s="39"/>
      <c r="K57" s="29">
        <f t="shared" si="4"/>
        <v>0</v>
      </c>
      <c r="L57" s="16"/>
      <c r="M57" s="16"/>
      <c r="N57" s="16"/>
      <c r="O57" s="16"/>
      <c r="P57" s="16"/>
    </row>
    <row r="58" spans="1:16" x14ac:dyDescent="0.35">
      <c r="A58" s="51" t="s">
        <v>60</v>
      </c>
      <c r="B58" s="28"/>
      <c r="C58" s="31"/>
      <c r="D58" s="47">
        <v>0</v>
      </c>
      <c r="E58" s="47">
        <v>0</v>
      </c>
      <c r="F58" s="47"/>
      <c r="G58" s="47"/>
      <c r="H58" s="39"/>
      <c r="I58" s="39"/>
      <c r="J58" s="39"/>
      <c r="K58" s="29">
        <f t="shared" si="4"/>
        <v>0</v>
      </c>
      <c r="L58" s="16"/>
      <c r="M58" s="16"/>
      <c r="N58" s="16"/>
      <c r="O58" s="16"/>
      <c r="P58" s="16"/>
    </row>
    <row r="59" spans="1:16" x14ac:dyDescent="0.35">
      <c r="A59" s="51" t="s">
        <v>61</v>
      </c>
      <c r="B59" s="28"/>
      <c r="C59" s="31">
        <v>0</v>
      </c>
      <c r="D59" s="47">
        <v>0</v>
      </c>
      <c r="E59" s="47">
        <v>0</v>
      </c>
      <c r="F59" s="47"/>
      <c r="G59" s="47"/>
      <c r="H59" s="39"/>
      <c r="I59" s="39"/>
      <c r="J59" s="39"/>
      <c r="K59" s="29">
        <f t="shared" si="4"/>
        <v>0</v>
      </c>
      <c r="L59" s="16"/>
      <c r="M59" s="16"/>
      <c r="N59" s="16"/>
      <c r="O59" s="16"/>
      <c r="P59" s="16"/>
    </row>
    <row r="60" spans="1:16" x14ac:dyDescent="0.35">
      <c r="A60" s="51" t="s">
        <v>62</v>
      </c>
      <c r="B60" s="28">
        <v>1000447</v>
      </c>
      <c r="C60" s="31">
        <v>-600447</v>
      </c>
      <c r="D60" s="47">
        <v>0</v>
      </c>
      <c r="E60" s="47">
        <v>0</v>
      </c>
      <c r="F60" s="47"/>
      <c r="G60" s="47"/>
      <c r="H60" s="39"/>
      <c r="I60" s="39"/>
      <c r="J60" s="39"/>
      <c r="K60" s="29">
        <f t="shared" si="4"/>
        <v>0</v>
      </c>
      <c r="L60" s="16"/>
      <c r="M60" s="16"/>
      <c r="N60" s="16"/>
      <c r="O60" s="16"/>
      <c r="P60" s="16"/>
    </row>
    <row r="61" spans="1:16" x14ac:dyDescent="0.35">
      <c r="A61" s="51" t="s">
        <v>63</v>
      </c>
      <c r="B61" s="28"/>
      <c r="C61" s="31">
        <v>0</v>
      </c>
      <c r="D61" s="47">
        <v>0</v>
      </c>
      <c r="E61" s="47">
        <v>0</v>
      </c>
      <c r="F61" s="47"/>
      <c r="G61" s="47"/>
      <c r="H61" s="39"/>
      <c r="I61" s="39"/>
      <c r="J61" s="39"/>
      <c r="K61" s="29">
        <f t="shared" si="4"/>
        <v>0</v>
      </c>
      <c r="L61" s="16"/>
      <c r="M61" s="16"/>
      <c r="N61" s="16"/>
      <c r="O61" s="16"/>
      <c r="P61" s="16"/>
    </row>
    <row r="62" spans="1:16" s="11" customFormat="1" x14ac:dyDescent="0.35">
      <c r="A62" s="50" t="s">
        <v>64</v>
      </c>
      <c r="B62" s="27">
        <f>SUM(B63:B66)</f>
        <v>24477</v>
      </c>
      <c r="C62" s="33">
        <f>SUM(C63:C73)</f>
        <v>9175523</v>
      </c>
      <c r="D62" s="33">
        <f t="shared" ref="D62:P62" si="11">SUM(D63:D73)</f>
        <v>0</v>
      </c>
      <c r="E62" s="33">
        <f t="shared" si="11"/>
        <v>0</v>
      </c>
      <c r="F62" s="33">
        <f t="shared" si="11"/>
        <v>0</v>
      </c>
      <c r="G62" s="33">
        <f t="shared" si="11"/>
        <v>0</v>
      </c>
      <c r="H62" s="33">
        <f t="shared" si="11"/>
        <v>0</v>
      </c>
      <c r="I62" s="33">
        <f t="shared" si="11"/>
        <v>0</v>
      </c>
      <c r="J62" s="33">
        <f t="shared" si="11"/>
        <v>0</v>
      </c>
      <c r="K62" s="30">
        <f>SUM(K63:K73)</f>
        <v>0</v>
      </c>
      <c r="L62" s="33">
        <f t="shared" si="11"/>
        <v>0</v>
      </c>
      <c r="M62" s="33">
        <f t="shared" si="11"/>
        <v>0</v>
      </c>
      <c r="N62" s="33">
        <f t="shared" si="11"/>
        <v>0</v>
      </c>
      <c r="O62" s="33">
        <f t="shared" si="11"/>
        <v>0</v>
      </c>
      <c r="P62" s="33">
        <f t="shared" si="11"/>
        <v>0</v>
      </c>
    </row>
    <row r="63" spans="1:16" x14ac:dyDescent="0.35">
      <c r="A63" s="51" t="s">
        <v>65</v>
      </c>
      <c r="B63" s="28">
        <v>24477</v>
      </c>
      <c r="C63" s="36">
        <v>9175523</v>
      </c>
      <c r="D63" s="47">
        <v>0</v>
      </c>
      <c r="E63" s="47">
        <v>0</v>
      </c>
      <c r="F63" s="47"/>
      <c r="G63" s="47"/>
      <c r="H63" s="39"/>
      <c r="I63" s="39"/>
      <c r="J63" s="39"/>
      <c r="K63" s="29">
        <f>SUM(D63:J63)</f>
        <v>0</v>
      </c>
      <c r="L63" s="16"/>
      <c r="M63" s="16"/>
      <c r="N63" s="16"/>
      <c r="O63" s="16"/>
      <c r="P63" s="16"/>
    </row>
    <row r="64" spans="1:16" x14ac:dyDescent="0.35">
      <c r="A64" s="51" t="s">
        <v>66</v>
      </c>
      <c r="B64" s="29">
        <f t="shared" ref="B64:B73" si="12">SUM(D64:H64)</f>
        <v>0</v>
      </c>
      <c r="C64" s="36">
        <v>0</v>
      </c>
      <c r="D64" s="47">
        <v>0</v>
      </c>
      <c r="E64" s="47">
        <v>0</v>
      </c>
      <c r="F64" s="47"/>
      <c r="G64" s="47"/>
      <c r="H64" s="39"/>
      <c r="I64" s="39"/>
      <c r="J64" s="39"/>
      <c r="K64" s="29">
        <f t="shared" si="4"/>
        <v>0</v>
      </c>
      <c r="L64" s="16"/>
      <c r="M64" s="16"/>
      <c r="N64" s="16"/>
      <c r="O64" s="16"/>
      <c r="P64" s="16"/>
    </row>
    <row r="65" spans="1:16" x14ac:dyDescent="0.35">
      <c r="A65" s="51" t="s">
        <v>67</v>
      </c>
      <c r="B65" s="29">
        <f t="shared" si="12"/>
        <v>0</v>
      </c>
      <c r="C65" s="36">
        <v>0</v>
      </c>
      <c r="D65" s="47">
        <v>0</v>
      </c>
      <c r="E65" s="47">
        <v>0</v>
      </c>
      <c r="F65" s="47"/>
      <c r="G65" s="47"/>
      <c r="H65" s="39"/>
      <c r="I65" s="39"/>
      <c r="J65" s="39"/>
      <c r="K65" s="29">
        <f t="shared" si="4"/>
        <v>0</v>
      </c>
      <c r="L65" s="16"/>
      <c r="M65" s="16"/>
      <c r="N65" s="16"/>
      <c r="O65" s="16"/>
      <c r="P65" s="16"/>
    </row>
    <row r="66" spans="1:16" ht="42" x14ac:dyDescent="0.35">
      <c r="A66" s="51" t="s">
        <v>68</v>
      </c>
      <c r="B66" s="29">
        <f t="shared" si="12"/>
        <v>0</v>
      </c>
      <c r="C66" s="36">
        <v>0</v>
      </c>
      <c r="D66" s="47">
        <v>0</v>
      </c>
      <c r="E66" s="47">
        <v>0</v>
      </c>
      <c r="F66" s="47"/>
      <c r="G66" s="47"/>
      <c r="H66" s="39"/>
      <c r="I66" s="39"/>
      <c r="J66" s="39"/>
      <c r="K66" s="29">
        <f t="shared" si="4"/>
        <v>0</v>
      </c>
      <c r="L66" s="16"/>
      <c r="M66" s="16"/>
      <c r="N66" s="16"/>
      <c r="O66" s="16"/>
      <c r="P66" s="16"/>
    </row>
    <row r="67" spans="1:16" x14ac:dyDescent="0.35">
      <c r="A67" s="50" t="s">
        <v>69</v>
      </c>
      <c r="B67" s="29">
        <f t="shared" si="12"/>
        <v>0</v>
      </c>
      <c r="C67" s="36">
        <v>0</v>
      </c>
      <c r="D67" s="47">
        <v>0</v>
      </c>
      <c r="E67" s="47">
        <v>0</v>
      </c>
      <c r="F67" s="47"/>
      <c r="G67" s="47"/>
      <c r="H67" s="39"/>
      <c r="I67" s="39"/>
      <c r="J67" s="39"/>
      <c r="K67" s="29">
        <f t="shared" si="4"/>
        <v>0</v>
      </c>
      <c r="L67" s="16"/>
      <c r="M67" s="16"/>
      <c r="N67" s="16"/>
      <c r="O67" s="16"/>
      <c r="P67" s="16"/>
    </row>
    <row r="68" spans="1:16" x14ac:dyDescent="0.35">
      <c r="A68" s="51" t="s">
        <v>70</v>
      </c>
      <c r="B68" s="29">
        <f t="shared" si="12"/>
        <v>0</v>
      </c>
      <c r="C68" s="36">
        <v>0</v>
      </c>
      <c r="D68" s="47">
        <v>0</v>
      </c>
      <c r="E68" s="47">
        <v>0</v>
      </c>
      <c r="F68" s="47"/>
      <c r="G68" s="47"/>
      <c r="H68" s="39"/>
      <c r="I68" s="39"/>
      <c r="J68" s="39"/>
      <c r="K68" s="29">
        <f t="shared" si="4"/>
        <v>0</v>
      </c>
      <c r="L68" s="16"/>
      <c r="M68" s="16"/>
      <c r="N68" s="16"/>
      <c r="O68" s="16"/>
      <c r="P68" s="16"/>
    </row>
    <row r="69" spans="1:16" x14ac:dyDescent="0.35">
      <c r="A69" s="51" t="s">
        <v>71</v>
      </c>
      <c r="B69" s="29">
        <f t="shared" si="12"/>
        <v>0</v>
      </c>
      <c r="C69" s="36">
        <v>0</v>
      </c>
      <c r="D69" s="47">
        <v>0</v>
      </c>
      <c r="E69" s="47">
        <v>0</v>
      </c>
      <c r="F69" s="47"/>
      <c r="G69" s="47"/>
      <c r="H69" s="39"/>
      <c r="I69" s="39"/>
      <c r="J69" s="39"/>
      <c r="K69" s="29">
        <f t="shared" si="4"/>
        <v>0</v>
      </c>
      <c r="L69" s="16"/>
      <c r="M69" s="16"/>
      <c r="N69" s="16"/>
      <c r="O69" s="16"/>
      <c r="P69" s="16"/>
    </row>
    <row r="70" spans="1:16" x14ac:dyDescent="0.35">
      <c r="A70" s="50" t="s">
        <v>72</v>
      </c>
      <c r="B70" s="29">
        <f t="shared" si="12"/>
        <v>0</v>
      </c>
      <c r="C70" s="36">
        <v>0</v>
      </c>
      <c r="D70" s="47">
        <v>0</v>
      </c>
      <c r="E70" s="47">
        <v>0</v>
      </c>
      <c r="F70" s="47"/>
      <c r="G70" s="47"/>
      <c r="H70" s="39"/>
      <c r="I70" s="39"/>
      <c r="J70" s="39"/>
      <c r="K70" s="29">
        <f t="shared" si="4"/>
        <v>0</v>
      </c>
      <c r="L70" s="16"/>
      <c r="M70" s="16"/>
      <c r="N70" s="16"/>
      <c r="O70" s="16"/>
      <c r="P70" s="16"/>
    </row>
    <row r="71" spans="1:16" x14ac:dyDescent="0.35">
      <c r="A71" s="51" t="s">
        <v>73</v>
      </c>
      <c r="B71" s="29">
        <f t="shared" si="12"/>
        <v>0</v>
      </c>
      <c r="C71" s="36">
        <v>0</v>
      </c>
      <c r="D71" s="47">
        <v>0</v>
      </c>
      <c r="E71" s="47">
        <v>0</v>
      </c>
      <c r="F71" s="47"/>
      <c r="G71" s="47"/>
      <c r="H71" s="39"/>
      <c r="I71" s="39"/>
      <c r="J71" s="39"/>
      <c r="K71" s="29">
        <f t="shared" si="4"/>
        <v>0</v>
      </c>
      <c r="L71" s="16"/>
      <c r="M71" s="16"/>
      <c r="N71" s="16"/>
      <c r="O71" s="16"/>
      <c r="P71" s="16"/>
    </row>
    <row r="72" spans="1:16" x14ac:dyDescent="0.35">
      <c r="A72" s="51" t="s">
        <v>74</v>
      </c>
      <c r="B72" s="29">
        <f t="shared" si="12"/>
        <v>0</v>
      </c>
      <c r="C72" s="36">
        <v>0</v>
      </c>
      <c r="D72" s="47">
        <v>0</v>
      </c>
      <c r="E72" s="47">
        <v>0</v>
      </c>
      <c r="F72" s="47"/>
      <c r="G72" s="47"/>
      <c r="H72" s="39"/>
      <c r="I72" s="39"/>
      <c r="J72" s="39"/>
      <c r="K72" s="29">
        <f t="shared" si="4"/>
        <v>0</v>
      </c>
      <c r="L72" s="16"/>
      <c r="M72" s="16"/>
      <c r="N72" s="16"/>
      <c r="O72" s="16"/>
      <c r="P72" s="16"/>
    </row>
    <row r="73" spans="1:16" ht="21.75" thickBot="1" x14ac:dyDescent="0.4">
      <c r="A73" s="63" t="s">
        <v>75</v>
      </c>
      <c r="B73" s="64">
        <f t="shared" si="12"/>
        <v>0</v>
      </c>
      <c r="C73" s="65">
        <v>0</v>
      </c>
      <c r="D73" s="60">
        <v>0</v>
      </c>
      <c r="E73" s="60">
        <v>0</v>
      </c>
      <c r="F73" s="60"/>
      <c r="G73" s="60"/>
      <c r="H73" s="61"/>
      <c r="I73" s="61"/>
      <c r="J73" s="61"/>
      <c r="K73" s="29">
        <f t="shared" si="4"/>
        <v>0</v>
      </c>
      <c r="L73" s="16"/>
      <c r="M73" s="16"/>
      <c r="N73" s="16"/>
      <c r="O73" s="16"/>
      <c r="P73" s="16"/>
    </row>
    <row r="74" spans="1:16" s="11" customFormat="1" ht="21.75" thickBot="1" x14ac:dyDescent="0.4">
      <c r="A74" s="43" t="s">
        <v>76</v>
      </c>
      <c r="B74" s="44">
        <f t="shared" ref="B74:H74" si="13">+B67+B62+B52+B45+B37+B27+B16+B8</f>
        <v>179756600</v>
      </c>
      <c r="C74" s="45">
        <f t="shared" si="13"/>
        <v>-967466</v>
      </c>
      <c r="D74" s="44">
        <f t="shared" si="13"/>
        <v>7190719.1400000006</v>
      </c>
      <c r="E74" s="44">
        <f t="shared" si="13"/>
        <v>8707304.2400000002</v>
      </c>
      <c r="F74" s="44">
        <f t="shared" si="13"/>
        <v>10118668.800000001</v>
      </c>
      <c r="G74" s="44">
        <f t="shared" si="13"/>
        <v>8891987.4699999988</v>
      </c>
      <c r="H74" s="46">
        <f t="shared" si="13"/>
        <v>14663808.100000001</v>
      </c>
      <c r="I74" s="46"/>
      <c r="J74" s="46"/>
      <c r="K74" s="44">
        <f t="shared" ref="K74" si="14">+K67+K62+K52+K45+K37+K27+K16+K8</f>
        <v>70161906.540000007</v>
      </c>
      <c r="L74" s="21"/>
      <c r="M74" s="21"/>
      <c r="N74" s="21"/>
      <c r="O74" s="21"/>
      <c r="P74" s="21"/>
    </row>
    <row r="75" spans="1:16" x14ac:dyDescent="0.35">
      <c r="A75" s="51"/>
      <c r="B75" s="18"/>
      <c r="C75" s="18"/>
      <c r="D75" s="17"/>
      <c r="E75" s="17"/>
      <c r="F75" s="17"/>
      <c r="G75" s="17"/>
      <c r="H75" s="17"/>
      <c r="I75" s="17"/>
      <c r="J75" s="17"/>
      <c r="K75" s="39"/>
      <c r="L75" s="17"/>
      <c r="M75" s="17"/>
      <c r="N75" s="17"/>
      <c r="O75" s="17"/>
      <c r="P75" s="17"/>
    </row>
    <row r="76" spans="1:16" x14ac:dyDescent="0.35">
      <c r="A76" s="49" t="s">
        <v>77</v>
      </c>
      <c r="B76" s="6"/>
      <c r="C76" s="6"/>
      <c r="D76" s="12"/>
      <c r="E76" s="12"/>
      <c r="F76" s="12"/>
      <c r="G76" s="12"/>
      <c r="H76" s="12"/>
      <c r="I76" s="12"/>
      <c r="J76" s="12"/>
      <c r="K76" s="53"/>
      <c r="L76" s="12"/>
      <c r="M76" s="12"/>
      <c r="N76" s="12"/>
      <c r="O76" s="12"/>
      <c r="P76" s="12"/>
    </row>
    <row r="77" spans="1:16" x14ac:dyDescent="0.35">
      <c r="A77" s="49" t="s">
        <v>78</v>
      </c>
      <c r="B77" s="55"/>
      <c r="C77" s="55"/>
      <c r="D77" s="7"/>
      <c r="E77" s="7"/>
      <c r="F77" s="7"/>
      <c r="G77" s="7"/>
      <c r="H77" s="7"/>
      <c r="I77" s="7"/>
      <c r="J77" s="7"/>
      <c r="K77" s="56"/>
      <c r="L77" s="7"/>
      <c r="M77" s="7"/>
      <c r="N77" s="7"/>
      <c r="O77" s="7"/>
      <c r="P77" s="7"/>
    </row>
    <row r="78" spans="1:16" x14ac:dyDescent="0.35">
      <c r="A78" s="54" t="s">
        <v>79</v>
      </c>
      <c r="B78" s="19"/>
      <c r="C78" s="19"/>
      <c r="D78" s="7"/>
      <c r="E78" s="7"/>
      <c r="F78" s="7"/>
      <c r="G78" s="7"/>
      <c r="H78" s="7"/>
      <c r="I78" s="7"/>
      <c r="J78" s="7"/>
      <c r="K78" s="56"/>
      <c r="L78" s="7"/>
      <c r="M78" s="7"/>
      <c r="N78" s="7"/>
      <c r="O78" s="7"/>
      <c r="P78" s="7"/>
    </row>
    <row r="79" spans="1:16" x14ac:dyDescent="0.35">
      <c r="A79" s="54" t="s">
        <v>80</v>
      </c>
      <c r="B79" s="19"/>
      <c r="C79" s="19"/>
      <c r="D79" s="7"/>
      <c r="E79" s="7"/>
      <c r="F79" s="7"/>
      <c r="G79" s="7"/>
      <c r="H79" s="7"/>
      <c r="I79" s="7"/>
      <c r="J79" s="7"/>
      <c r="K79" s="56"/>
      <c r="L79" s="7"/>
      <c r="M79" s="7"/>
      <c r="N79" s="7"/>
      <c r="O79" s="7"/>
      <c r="P79" s="7"/>
    </row>
    <row r="80" spans="1:16" x14ac:dyDescent="0.35">
      <c r="A80" s="49" t="s">
        <v>81</v>
      </c>
      <c r="B80" s="6"/>
      <c r="C80" s="6"/>
      <c r="D80" s="7"/>
      <c r="E80" s="7"/>
      <c r="F80" s="7"/>
      <c r="G80" s="7"/>
      <c r="H80" s="7"/>
      <c r="I80" s="7"/>
      <c r="J80" s="7"/>
      <c r="K80" s="56"/>
      <c r="L80" s="7"/>
      <c r="M80" s="7"/>
      <c r="N80" s="7"/>
      <c r="O80" s="7"/>
      <c r="P80" s="7"/>
    </row>
    <row r="81" spans="1:16" x14ac:dyDescent="0.35">
      <c r="A81" s="54" t="s">
        <v>82</v>
      </c>
      <c r="B81" s="19"/>
      <c r="C81" s="19"/>
      <c r="D81" s="7"/>
      <c r="E81" s="7"/>
      <c r="F81" s="7"/>
      <c r="G81" s="7"/>
      <c r="H81" s="7"/>
      <c r="I81" s="7"/>
      <c r="J81" s="7"/>
      <c r="K81" s="56"/>
      <c r="L81" s="7"/>
      <c r="M81" s="7"/>
      <c r="N81" s="7"/>
      <c r="O81" s="7"/>
      <c r="P81" s="7"/>
    </row>
    <row r="82" spans="1:16" x14ac:dyDescent="0.35">
      <c r="A82" s="54" t="s">
        <v>83</v>
      </c>
      <c r="B82" s="19"/>
      <c r="C82" s="19"/>
      <c r="D82" s="7"/>
      <c r="E82" s="7"/>
      <c r="F82" s="7"/>
      <c r="G82" s="7"/>
      <c r="H82" s="7"/>
      <c r="I82" s="7"/>
      <c r="J82" s="7"/>
      <c r="K82" s="56"/>
      <c r="L82" s="7"/>
      <c r="M82" s="7"/>
      <c r="N82" s="7"/>
      <c r="O82" s="7"/>
      <c r="P82" s="7"/>
    </row>
    <row r="83" spans="1:16" x14ac:dyDescent="0.35">
      <c r="A83" s="49" t="s">
        <v>84</v>
      </c>
      <c r="B83" s="6"/>
      <c r="C83" s="6"/>
      <c r="D83" s="7"/>
      <c r="E83" s="7"/>
      <c r="F83" s="7"/>
      <c r="G83" s="7"/>
      <c r="H83" s="7"/>
      <c r="I83" s="7"/>
      <c r="J83" s="7"/>
      <c r="K83" s="56"/>
      <c r="L83" s="7"/>
      <c r="M83" s="7"/>
      <c r="N83" s="7"/>
      <c r="O83" s="7"/>
      <c r="P83" s="7"/>
    </row>
    <row r="84" spans="1:16" ht="21.75" thickBot="1" x14ac:dyDescent="0.4">
      <c r="A84" s="54" t="s">
        <v>85</v>
      </c>
      <c r="B84" s="19"/>
      <c r="C84" s="19"/>
      <c r="D84" s="57"/>
      <c r="E84" s="58"/>
      <c r="F84" s="58"/>
      <c r="G84" s="7"/>
      <c r="H84" s="57"/>
      <c r="I84" s="57"/>
      <c r="J84" s="57"/>
      <c r="K84" s="59"/>
      <c r="L84" s="1"/>
      <c r="M84" s="7"/>
      <c r="N84" s="7"/>
      <c r="O84" s="7"/>
      <c r="P84" s="7"/>
    </row>
    <row r="85" spans="1:16" ht="21.75" thickBot="1" x14ac:dyDescent="0.4">
      <c r="A85" s="43" t="s">
        <v>86</v>
      </c>
      <c r="B85" s="44">
        <f>+B74</f>
        <v>179756600</v>
      </c>
      <c r="C85" s="44">
        <f t="shared" ref="C85:H85" si="15">+C74</f>
        <v>-967466</v>
      </c>
      <c r="D85" s="44">
        <f t="shared" si="15"/>
        <v>7190719.1400000006</v>
      </c>
      <c r="E85" s="44">
        <f t="shared" si="15"/>
        <v>8707304.2400000002</v>
      </c>
      <c r="F85" s="44">
        <f t="shared" si="15"/>
        <v>10118668.800000001</v>
      </c>
      <c r="G85" s="44">
        <f t="shared" si="15"/>
        <v>8891987.4699999988</v>
      </c>
      <c r="H85" s="44">
        <f t="shared" si="15"/>
        <v>14663808.100000001</v>
      </c>
      <c r="I85" s="44"/>
      <c r="J85" s="44"/>
      <c r="K85" s="44">
        <f>+K74</f>
        <v>70161906.540000007</v>
      </c>
      <c r="L85" s="1"/>
      <c r="M85" s="20"/>
      <c r="N85" s="20"/>
      <c r="O85" s="20"/>
      <c r="P85" s="20"/>
    </row>
    <row r="86" spans="1:16" ht="23.25" x14ac:dyDescent="0.35">
      <c r="B86" s="72"/>
      <c r="C86" s="72"/>
      <c r="D86" s="72"/>
      <c r="E86" s="23"/>
      <c r="F86" s="23"/>
      <c r="G86" s="22"/>
      <c r="H86" s="72"/>
      <c r="I86" s="72"/>
      <c r="J86" s="72"/>
      <c r="K86" s="72"/>
      <c r="L86" s="1"/>
      <c r="M86" s="7"/>
      <c r="N86" s="7"/>
      <c r="O86" s="7"/>
      <c r="P86" s="7"/>
    </row>
    <row r="87" spans="1:16" ht="23.25" x14ac:dyDescent="0.35">
      <c r="B87" s="22"/>
      <c r="C87" s="22"/>
      <c r="D87" s="23"/>
      <c r="E87" s="23"/>
      <c r="F87" s="23"/>
      <c r="G87" s="22"/>
      <c r="H87" s="22"/>
      <c r="I87" s="22"/>
      <c r="J87" s="22"/>
      <c r="K87" s="23"/>
      <c r="L87" s="1"/>
    </row>
    <row r="88" spans="1:16" ht="23.25" x14ac:dyDescent="0.35">
      <c r="B88" s="22"/>
      <c r="C88" s="22"/>
      <c r="D88" s="23"/>
      <c r="E88" s="23"/>
      <c r="F88" s="23"/>
      <c r="G88" s="24"/>
      <c r="H88" s="25"/>
      <c r="I88" s="25"/>
      <c r="J88" s="25"/>
      <c r="K88" s="25"/>
      <c r="L88" s="1"/>
    </row>
    <row r="89" spans="1:16" ht="23.25" x14ac:dyDescent="0.35">
      <c r="B89" s="73"/>
      <c r="C89" s="73"/>
      <c r="D89" s="73"/>
      <c r="E89" s="23"/>
      <c r="F89" s="23"/>
      <c r="G89" s="22"/>
      <c r="H89" s="73"/>
      <c r="I89" s="73"/>
      <c r="J89" s="73"/>
      <c r="K89" s="73"/>
      <c r="L89" s="1"/>
    </row>
    <row r="90" spans="1:16" ht="23.25" x14ac:dyDescent="0.35">
      <c r="B90" s="73"/>
      <c r="C90" s="73"/>
      <c r="D90" s="73"/>
      <c r="E90" s="22"/>
      <c r="F90" s="22"/>
      <c r="G90" s="22"/>
      <c r="H90" s="73"/>
      <c r="I90" s="73"/>
      <c r="J90" s="73"/>
      <c r="K90" s="73"/>
    </row>
    <row r="91" spans="1:16" ht="23.25" x14ac:dyDescent="0.35">
      <c r="B91" s="22"/>
      <c r="C91" s="22"/>
      <c r="D91" s="22"/>
      <c r="E91" s="22"/>
      <c r="F91" s="22"/>
      <c r="G91" s="22"/>
      <c r="H91" s="22"/>
      <c r="I91" s="22"/>
      <c r="J91" s="22"/>
      <c r="K91" s="22"/>
    </row>
    <row r="92" spans="1:16" ht="23.25" x14ac:dyDescent="0.35">
      <c r="B92" s="22"/>
      <c r="C92" s="22"/>
      <c r="D92" s="22"/>
      <c r="E92" s="22"/>
      <c r="F92" s="22"/>
      <c r="G92" s="22"/>
      <c r="H92" s="22"/>
      <c r="I92" s="22"/>
      <c r="J92" s="22"/>
      <c r="K92" s="22"/>
    </row>
    <row r="93" spans="1:16" ht="23.25" x14ac:dyDescent="0.35">
      <c r="B93" s="22"/>
      <c r="C93" s="22"/>
      <c r="D93" s="22"/>
      <c r="E93" s="72"/>
      <c r="F93" s="72"/>
      <c r="G93" s="72"/>
      <c r="H93" s="22"/>
      <c r="I93" s="22"/>
      <c r="J93" s="22"/>
      <c r="K93" s="22"/>
    </row>
    <row r="94" spans="1:16" ht="23.25" x14ac:dyDescent="0.35">
      <c r="B94" s="22"/>
      <c r="C94" s="22"/>
      <c r="D94" s="22"/>
      <c r="E94" s="22"/>
      <c r="F94" s="23"/>
      <c r="G94" s="23"/>
      <c r="H94" s="22"/>
      <c r="I94" s="22"/>
      <c r="J94" s="22"/>
      <c r="K94" s="22"/>
    </row>
    <row r="95" spans="1:16" ht="23.25" x14ac:dyDescent="0.35">
      <c r="B95" s="22"/>
      <c r="C95" s="22"/>
      <c r="D95" s="22"/>
      <c r="E95" s="22"/>
      <c r="F95" s="23"/>
      <c r="G95" s="23"/>
      <c r="H95" s="22"/>
      <c r="I95" s="22"/>
      <c r="J95" s="22"/>
      <c r="K95" s="22"/>
    </row>
    <row r="96" spans="1:16" ht="23.25" x14ac:dyDescent="0.35">
      <c r="B96" s="22"/>
      <c r="C96" s="22"/>
      <c r="D96" s="22"/>
      <c r="E96" s="73"/>
      <c r="F96" s="73"/>
      <c r="G96" s="73"/>
      <c r="H96" s="22"/>
      <c r="I96" s="22"/>
      <c r="J96" s="22"/>
      <c r="K96" s="22"/>
    </row>
    <row r="97" spans="2:11" ht="23.25" x14ac:dyDescent="0.35">
      <c r="B97" s="22"/>
      <c r="C97" s="22"/>
      <c r="D97" s="22"/>
      <c r="E97" s="73"/>
      <c r="F97" s="73"/>
      <c r="G97" s="73"/>
      <c r="H97" s="22"/>
      <c r="I97" s="22"/>
      <c r="J97" s="22"/>
      <c r="K97" s="22"/>
    </row>
    <row r="98" spans="2:11" ht="23.25" x14ac:dyDescent="0.35">
      <c r="B98" s="22"/>
      <c r="C98" s="22"/>
      <c r="D98" s="74"/>
      <c r="E98" s="74"/>
      <c r="F98" s="74"/>
      <c r="G98" s="74"/>
      <c r="H98" s="74"/>
      <c r="I98" s="62"/>
      <c r="J98" s="62"/>
      <c r="K98" s="22"/>
    </row>
  </sheetData>
  <mergeCells count="14">
    <mergeCell ref="E97:G97"/>
    <mergeCell ref="D98:H98"/>
    <mergeCell ref="B89:D89"/>
    <mergeCell ref="H89:K89"/>
    <mergeCell ref="B90:D90"/>
    <mergeCell ref="H90:K90"/>
    <mergeCell ref="E93:G93"/>
    <mergeCell ref="E96:G96"/>
    <mergeCell ref="A1:P1"/>
    <mergeCell ref="A2:P2"/>
    <mergeCell ref="A3:P3"/>
    <mergeCell ref="D5:J5"/>
    <mergeCell ref="B86:D86"/>
    <mergeCell ref="H86:K86"/>
  </mergeCells>
  <printOptions horizontalCentered="1"/>
  <pageMargins left="0.70866141732283505" right="0.70866141732283505" top="0.74803040244969399" bottom="0.74803040244969399" header="0.31496062992126" footer="0.31496062992126"/>
  <pageSetup scale="35" orientation="landscape" r:id="rId1"/>
  <rowBreaks count="1" manualBreakCount="1">
    <brk id="54" max="14" man="1"/>
  </rowBreaks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AL 31 DE JULIO 2022</vt:lpstr>
      <vt:lpstr>'EJECUCION AL 31 DE JULIO 2022'!Área_de_impresión</vt:lpstr>
      <vt:lpstr>'EJECUCION AL 31 DE JULIO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Acevedo</dc:creator>
  <cp:lastModifiedBy>Glarquis Gómez Batista</cp:lastModifiedBy>
  <cp:lastPrinted>2022-08-01T16:15:52Z</cp:lastPrinted>
  <dcterms:created xsi:type="dcterms:W3CDTF">2022-06-01T19:16:27Z</dcterms:created>
  <dcterms:modified xsi:type="dcterms:W3CDTF">2022-08-11T16:29:41Z</dcterms:modified>
</cp:coreProperties>
</file>