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mez\Desktop\"/>
    </mc:Choice>
  </mc:AlternateContent>
  <xr:revisionPtr revIDLastSave="0" documentId="8_{E57E0EEF-148C-4D86-BD60-FDE20029E190}" xr6:coauthVersionLast="47" xr6:coauthVersionMax="47" xr10:uidLastSave="{00000000-0000-0000-0000-000000000000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'!$A$1:$Q$105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5" i="4" l="1"/>
  <c r="K85" i="4"/>
  <c r="J85" i="4"/>
  <c r="I85" i="4"/>
  <c r="H85" i="4"/>
  <c r="G85" i="4"/>
  <c r="F85" i="4"/>
  <c r="E85" i="4"/>
  <c r="D85" i="4"/>
  <c r="L74" i="4"/>
  <c r="L7" i="4"/>
  <c r="K74" i="4"/>
  <c r="K7" i="4"/>
  <c r="J7" i="4"/>
  <c r="I74" i="4"/>
  <c r="I7" i="4"/>
  <c r="H7" i="4"/>
  <c r="H74" i="4"/>
  <c r="G7" i="4"/>
  <c r="G74" i="4"/>
  <c r="F7" i="4"/>
  <c r="F74" i="4"/>
  <c r="E7" i="4"/>
  <c r="E74" i="4"/>
  <c r="L8" i="4"/>
  <c r="B68" i="4" l="1"/>
  <c r="L67" i="4"/>
  <c r="K37" i="4"/>
  <c r="K27" i="4"/>
  <c r="L62" i="4"/>
  <c r="L73" i="4"/>
  <c r="L72" i="4"/>
  <c r="L71" i="4"/>
  <c r="L70" i="4"/>
  <c r="L69" i="4"/>
  <c r="L68" i="4"/>
  <c r="L66" i="4"/>
  <c r="L65" i="4"/>
  <c r="L64" i="4"/>
  <c r="L63" i="4"/>
  <c r="L61" i="4"/>
  <c r="L60" i="4"/>
  <c r="L59" i="4"/>
  <c r="L58" i="4"/>
  <c r="L57" i="4"/>
  <c r="L56" i="4"/>
  <c r="L55" i="4"/>
  <c r="L54" i="4"/>
  <c r="L53" i="4"/>
  <c r="L51" i="4"/>
  <c r="L50" i="4"/>
  <c r="L49" i="4"/>
  <c r="L48" i="4"/>
  <c r="L47" i="4"/>
  <c r="L46" i="4"/>
  <c r="L44" i="4"/>
  <c r="L43" i="4"/>
  <c r="L42" i="4"/>
  <c r="L41" i="4"/>
  <c r="L40" i="4"/>
  <c r="L39" i="4"/>
  <c r="L38" i="4"/>
  <c r="L36" i="4"/>
  <c r="L35" i="4"/>
  <c r="L34" i="4"/>
  <c r="L33" i="4"/>
  <c r="L32" i="4"/>
  <c r="L31" i="4"/>
  <c r="L30" i="4"/>
  <c r="L29" i="4"/>
  <c r="L28" i="4"/>
  <c r="L26" i="4"/>
  <c r="L25" i="4"/>
  <c r="L24" i="4"/>
  <c r="L23" i="4"/>
  <c r="L22" i="4"/>
  <c r="L21" i="4"/>
  <c r="L20" i="4"/>
  <c r="L19" i="4"/>
  <c r="L18" i="4"/>
  <c r="L17" i="4"/>
  <c r="L15" i="4"/>
  <c r="L14" i="4"/>
  <c r="L13" i="4"/>
  <c r="L12" i="4"/>
  <c r="L11" i="4"/>
  <c r="L10" i="4"/>
  <c r="L9" i="4"/>
  <c r="K52" i="4"/>
  <c r="K34" i="4"/>
  <c r="K24" i="4"/>
  <c r="K23" i="4"/>
  <c r="K18" i="4"/>
  <c r="K16" i="4"/>
  <c r="K15" i="4"/>
  <c r="K9" i="4"/>
  <c r="K8" i="4"/>
  <c r="D67" i="4" l="1"/>
  <c r="E67" i="4"/>
  <c r="C67" i="4" s="1"/>
  <c r="J74" i="4"/>
  <c r="B73" i="4"/>
  <c r="B72" i="4"/>
  <c r="B71" i="4"/>
  <c r="B70" i="4"/>
  <c r="B69" i="4"/>
  <c r="B66" i="4"/>
  <c r="B65" i="4"/>
  <c r="B64" i="4"/>
  <c r="Q62" i="4"/>
  <c r="P62" i="4"/>
  <c r="O62" i="4"/>
  <c r="N62" i="4"/>
  <c r="M62" i="4"/>
  <c r="E62" i="4"/>
  <c r="D62" i="4"/>
  <c r="C62" i="4"/>
  <c r="Q52" i="4"/>
  <c r="P52" i="4"/>
  <c r="O52" i="4"/>
  <c r="N52" i="4"/>
  <c r="M52" i="4"/>
  <c r="J52" i="4"/>
  <c r="I52" i="4"/>
  <c r="H52" i="4"/>
  <c r="G52" i="4"/>
  <c r="F52" i="4"/>
  <c r="E52" i="4"/>
  <c r="D52" i="4"/>
  <c r="C52" i="4"/>
  <c r="B52" i="4"/>
  <c r="F43" i="4"/>
  <c r="F38" i="4"/>
  <c r="J37" i="4"/>
  <c r="I37" i="4"/>
  <c r="H37" i="4"/>
  <c r="G37" i="4"/>
  <c r="E37" i="4"/>
  <c r="D37" i="4"/>
  <c r="C37" i="4"/>
  <c r="B37" i="4"/>
  <c r="C36" i="4"/>
  <c r="C34" i="4"/>
  <c r="C32" i="4"/>
  <c r="Q27" i="4"/>
  <c r="P27" i="4"/>
  <c r="O27" i="4"/>
  <c r="N27" i="4"/>
  <c r="M27" i="4"/>
  <c r="J27" i="4"/>
  <c r="I27" i="4"/>
  <c r="H27" i="4"/>
  <c r="G27" i="4"/>
  <c r="F27" i="4"/>
  <c r="E27" i="4"/>
  <c r="D27" i="4"/>
  <c r="B27" i="4"/>
  <c r="J26" i="4"/>
  <c r="G26" i="4"/>
  <c r="B25" i="4"/>
  <c r="B16" i="4" s="1"/>
  <c r="J24" i="4"/>
  <c r="I24" i="4"/>
  <c r="I16" i="4" s="1"/>
  <c r="H24" i="4"/>
  <c r="G24" i="4"/>
  <c r="F24" i="4"/>
  <c r="E24" i="4"/>
  <c r="E16" i="4" s="1"/>
  <c r="J23" i="4"/>
  <c r="C23" i="4"/>
  <c r="H21" i="4"/>
  <c r="C19" i="4"/>
  <c r="G18" i="4"/>
  <c r="C18" i="4"/>
  <c r="R16" i="4"/>
  <c r="Q16" i="4"/>
  <c r="P16" i="4"/>
  <c r="O16" i="4"/>
  <c r="N16" i="4"/>
  <c r="M16" i="4"/>
  <c r="D16" i="4"/>
  <c r="J15" i="4"/>
  <c r="I15" i="4"/>
  <c r="H15" i="4"/>
  <c r="G15" i="4"/>
  <c r="F15" i="4"/>
  <c r="E15" i="4"/>
  <c r="D15" i="4"/>
  <c r="I12" i="4"/>
  <c r="H12" i="4"/>
  <c r="J9" i="4"/>
  <c r="I9" i="4"/>
  <c r="H9" i="4"/>
  <c r="H8" i="4" s="1"/>
  <c r="G9" i="4"/>
  <c r="F9" i="4"/>
  <c r="E9" i="4"/>
  <c r="D9" i="4"/>
  <c r="D8" i="4" s="1"/>
  <c r="R8" i="4"/>
  <c r="Q8" i="4"/>
  <c r="P8" i="4"/>
  <c r="O8" i="4"/>
  <c r="N8" i="4"/>
  <c r="M8" i="4"/>
  <c r="C8" i="4"/>
  <c r="B8" i="4"/>
  <c r="AD7" i="4"/>
  <c r="W7" i="4"/>
  <c r="D7" i="4" l="1"/>
  <c r="B62" i="4"/>
  <c r="C27" i="4"/>
  <c r="N7" i="4"/>
  <c r="G8" i="4"/>
  <c r="E8" i="4"/>
  <c r="I8" i="4"/>
  <c r="L27" i="4"/>
  <c r="L52" i="4"/>
  <c r="M7" i="4"/>
  <c r="Q7" i="4"/>
  <c r="H16" i="4"/>
  <c r="C16" i="4"/>
  <c r="C74" i="4" s="1"/>
  <c r="C85" i="4" s="1"/>
  <c r="P7" i="4"/>
  <c r="G16" i="4"/>
  <c r="D74" i="4"/>
  <c r="O7" i="4"/>
  <c r="B7" i="4"/>
  <c r="F8" i="4"/>
  <c r="J8" i="4"/>
  <c r="F37" i="4"/>
  <c r="X7" i="4"/>
  <c r="Y7" i="4" s="1"/>
  <c r="Z7" i="4" s="1"/>
  <c r="AA7" i="4" s="1"/>
  <c r="AB7" i="4" s="1"/>
  <c r="L37" i="4"/>
  <c r="F16" i="4"/>
  <c r="J16" i="4"/>
  <c r="C7" i="4" l="1"/>
  <c r="L16" i="4"/>
  <c r="AC6" i="4"/>
  <c r="AD6" i="4" s="1"/>
  <c r="B67" i="4" l="1"/>
  <c r="B74" i="4"/>
  <c r="B85" i="4"/>
</calcChain>
</file>

<file path=xl/sharedStrings.xml><?xml version="1.0" encoding="utf-8"?>
<sst xmlns="http://schemas.openxmlformats.org/spreadsheetml/2006/main" count="110" uniqueCount="108">
  <si>
    <t>INSTITUTO DE EDUCACION SUPERIOR EN FORMACION DIPLOMATICA Y CONSULAR (INESDYC)</t>
  </si>
  <si>
    <t xml:space="preserve">1. Gasto devengado.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</si>
  <si>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</si>
  <si>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</si>
  <si>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</si>
  <si>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</si>
  <si>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</si>
  <si>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</si>
  <si>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</si>
  <si>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</si>
  <si>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</si>
  <si>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</si>
  <si>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2.1.1.2- REMUNERACION AL PERSONAL CON CARÁCTER TRANSITORIO</t>
  </si>
  <si>
    <t>2.1.1.5 PRESTACIONES ECONOMICAS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</si>
  <si>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</si>
  <si>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</si>
  <si>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</si>
  <si>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</si>
  <si>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</si>
  <si>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</si>
  <si>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</si>
  <si>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</si>
  <si>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</si>
  <si>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</si>
  <si>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</si>
  <si>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</si>
  <si>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</si>
  <si>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2.2.8.8 - IMPUESTOS DERECHOS Y TASAS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</si>
  <si>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</si>
  <si>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</si>
  <si>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</si>
  <si>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</si>
  <si>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</si>
  <si>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</si>
  <si>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</si>
  <si>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</si>
  <si>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</si>
  <si>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</si>
  <si>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</si>
  <si>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</si>
  <si>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</si>
  <si>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</si>
  <si>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</si>
  <si>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</si>
  <si>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</si>
  <si>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</si>
  <si>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</si>
  <si>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</si>
  <si>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</si>
  <si>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</si>
  <si>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</si>
  <si>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</si>
  <si>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</si>
  <si>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</si>
  <si>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</si>
  <si>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</si>
  <si>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</si>
  <si>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</si>
  <si>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</si>
  <si>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</si>
  <si>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</si>
  <si>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</si>
  <si>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</si>
  <si>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</si>
  <si>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</si>
  <si>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</si>
  <si>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</si>
  <si>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</si>
  <si>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</si>
  <si>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</si>
  <si>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</si>
  <si>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</si>
  <si>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</si>
  <si>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</si>
  <si>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</si>
  <si>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</si>
  <si>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</si>
  <si>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</si>
  <si>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</si>
  <si>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</si>
  <si>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</si>
  <si>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</si>
  <si>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</si>
  <si>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</si>
  <si>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</si>
  <si>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</si>
  <si>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</si>
  <si>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Ejecución de Gastos y Aplicaciones Financieras 2022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</si>
  <si>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</si>
  <si>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</si>
  <si>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</si>
  <si>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</si>
  <si>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</si>
  <si>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</si>
  <si>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</si>
  <si>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</si>
  <si>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</si>
  <si>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</si>
  <si>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</si>
  <si>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Gastos devengados</t>
  </si>
  <si>
    <t>Junio</t>
  </si>
  <si>
    <t>Julio</t>
  </si>
  <si>
    <t>NOTAS:</t>
  </si>
  <si>
    <t xml:space="preserve">2. Se presenta el gasto por mes; cada mes se debe actualizar el gasto devengado de los meses anteriores. </t>
  </si>
  <si>
    <t>AGOSTO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</si>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</sst>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Font="1" applyBorder="1"/>
    <xf numFmtId="164" fontId="2" fillId="2" borderId="0" xfId="1" applyFont="1" applyFill="1" applyBorder="1" applyAlignment="1">
      <alignment horizontal="center" vertical="center" wrapText="1"/>
    </xf>
    <xf numFmtId="43" fontId="3" fillId="0" borderId="0" xfId="0" applyNumberFormat="1" applyFont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9" fontId="3" fillId="0" borderId="0" xfId="2" applyFont="1" applyFill="1" applyBorder="1"/>
    <xf numFmtId="164" fontId="2" fillId="0" borderId="0" xfId="1" applyFont="1" applyFill="1" applyBorder="1"/>
    <xf numFmtId="165" fontId="3" fillId="0" borderId="0" xfId="0" applyNumberFormat="1" applyFont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>
      <alignment wrapText="1"/>
    </xf>
    <xf numFmtId="164" fontId="2" fillId="0" borderId="0" xfId="1" applyFont="1" applyFill="1" applyBorder="1" applyAlignment="1"/>
    <xf numFmtId="164" fontId="3" fillId="0" borderId="0" xfId="1" applyFont="1" applyFill="1" applyBorder="1" applyAlignment="1"/>
    <xf numFmtId="164" fontId="3" fillId="0" borderId="0" xfId="1" applyFont="1" applyBorder="1" applyAlignment="1"/>
    <xf numFmtId="164" fontId="3" fillId="0" borderId="0" xfId="1" applyFont="1" applyBorder="1" applyAlignment="1">
      <alignment wrapText="1"/>
    </xf>
    <xf numFmtId="164" fontId="3" fillId="0" borderId="0" xfId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wrapText="1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>
      <alignment wrapText="1"/>
    </xf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left" vertical="center" wrapText="1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>
      <alignment wrapText="1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164" fontId="2" fillId="3" borderId="7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/>
    <xf numFmtId="43" fontId="2" fillId="0" borderId="0" xfId="0" applyNumberFormat="1" applyFont="1" applyAlignment="1">
      <alignment vertical="center" wrapText="1"/>
    </xf>
    <xf numFmtId="164" fontId="2" fillId="2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Font="1" applyFill="1" applyBorder="1" applyAlignment="1">
      <alignment horizontal="center"/>
    </xf>
  </cellXfs>
  <cellStyles count="4">
    <cellStyle name="Millares" xfId="1" builtinId="3"/>
    <cellStyle name="Millares 2" xfId="3" xr:uid="{981127C4-4B95-4373-8E45-484DDF8D9D01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4939393</xdr:colOff>
      <xdr:row>91</xdr:row>
      <xdr:rowOff>244929</xdr:rowOff>
    </xdr:from>
    <xdr:to>
      <xdr:col>8</xdr:col>
      <xdr:colOff>925285</xdr:colOff>
      <xdr:row>105</xdr:row>
      <xdr:rowOff>19210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F297A1-BE4B-F716-AE7F-D0E35A231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9393" y="25976036"/>
          <a:ext cx="12382499" cy="3924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dimension ref="A1:AD105"/>
  <sheetViews>
    <sheetView showGridLines="0" tabSelected="1" view="pageBreakPreview" zoomScale="70" zoomScaleNormal="70" zoomScaleSheetLayoutView="70" workbookViewId="0">
      <pane ySplit="1" topLeftCell="A11" activePane="bottomLeft" state="frozen"/>
      <selection pane="bottomLeft" activeCell="J18" sqref="J18"/>
    </sheetView>
  </sheetViews>
  <sheetFormatPr baseColWidth="10" defaultColWidth="9.140625" defaultRowHeight="21" x14ac:dyDescent="0.35"/>
  <cols>
    <col min="1" max="1" width="99.85546875" style="1" customWidth="1"/>
    <col min="2" max="2" width="21.28515625" style="3" customWidth="1"/>
    <col min="3" max="3" width="20.7109375" style="3" customWidth="1"/>
    <col min="4" max="4" width="20.85546875" style="3" customWidth="1"/>
    <col min="5" max="5" width="20.7109375" style="3" customWidth="1"/>
    <col min="6" max="8" width="20.85546875" style="3" customWidth="1"/>
    <col min="9" max="9" width="20.7109375" style="3" customWidth="1"/>
    <col min="10" max="11" width="20.85546875" style="3" customWidth="1"/>
    <col min="12" max="12" width="21.42578125" style="3" customWidth="1"/>
    <col min="13" max="13" width="18.42578125" style="3" hidden="1" customWidth="1"/>
    <col min="14" max="14" width="18.5703125" style="3" hidden="1" customWidth="1"/>
    <col min="15" max="15" width="15.7109375" style="3" hidden="1" customWidth="1"/>
    <col min="16" max="16" width="17.5703125" style="3" hidden="1" customWidth="1"/>
    <col min="17" max="17" width="17" style="3" hidden="1" customWidth="1"/>
    <col min="18" max="18" width="0" style="1" hidden="1" customWidth="1"/>
    <col min="19" max="19" width="96.7109375" style="1" hidden="1" customWidth="1"/>
    <col min="20" max="20" width="0" style="1" hidden="1" customWidth="1"/>
    <col min="21" max="28" width="8.5703125" style="1" hidden="1" customWidth="1"/>
    <col min="29" max="30" width="10" style="1" hidden="1" customWidth="1"/>
    <col min="31" max="31" width="9.140625" style="1"/>
    <col min="32" max="32" width="17.140625" style="1" bestFit="1" customWidth="1"/>
    <col min="33" max="259" width="9.140625" style="1"/>
    <col min="260" max="260" width="89.85546875" style="1" customWidth="1"/>
    <col min="261" max="261" width="27.7109375" style="1" customWidth="1"/>
    <col min="262" max="262" width="25.7109375" style="1" customWidth="1"/>
    <col min="263" max="263" width="23.7109375" style="1" customWidth="1"/>
    <col min="264" max="264" width="24.140625" style="1" customWidth="1"/>
    <col min="265" max="265" width="23.7109375" style="1" customWidth="1"/>
    <col min="266" max="266" width="24.140625" style="1" customWidth="1"/>
    <col min="267" max="267" width="23.42578125" style="1" customWidth="1"/>
    <col min="268" max="268" width="24.140625" style="1" bestFit="1" customWidth="1"/>
    <col min="269" max="271" width="22.5703125" style="1" customWidth="1"/>
    <col min="272" max="272" width="22.5703125" style="1" bestFit="1" customWidth="1"/>
    <col min="273" max="273" width="23.7109375" style="1" bestFit="1" customWidth="1"/>
    <col min="274" max="274" width="9.140625" style="1"/>
    <col min="275" max="275" width="96.7109375" style="1" bestFit="1" customWidth="1"/>
    <col min="276" max="276" width="9.140625" style="1"/>
    <col min="277" max="284" width="8.5703125" style="1" bestFit="1" customWidth="1"/>
    <col min="285" max="286" width="10" style="1" bestFit="1" customWidth="1"/>
    <col min="287" max="515" width="9.140625" style="1"/>
    <col min="516" max="516" width="89.85546875" style="1" customWidth="1"/>
    <col min="517" max="517" width="27.7109375" style="1" customWidth="1"/>
    <col min="518" max="518" width="25.7109375" style="1" customWidth="1"/>
    <col min="519" max="519" width="23.7109375" style="1" customWidth="1"/>
    <col min="520" max="520" width="24.140625" style="1" customWidth="1"/>
    <col min="521" max="521" width="23.7109375" style="1" customWidth="1"/>
    <col min="522" max="522" width="24.140625" style="1" customWidth="1"/>
    <col min="523" max="523" width="23.42578125" style="1" customWidth="1"/>
    <col min="524" max="524" width="24.140625" style="1" bestFit="1" customWidth="1"/>
    <col min="525" max="527" width="22.5703125" style="1" customWidth="1"/>
    <col min="528" max="528" width="22.5703125" style="1" bestFit="1" customWidth="1"/>
    <col min="529" max="529" width="23.7109375" style="1" bestFit="1" customWidth="1"/>
    <col min="530" max="530" width="9.140625" style="1"/>
    <col min="531" max="531" width="96.7109375" style="1" bestFit="1" customWidth="1"/>
    <col min="532" max="532" width="9.140625" style="1"/>
    <col min="533" max="540" width="8.5703125" style="1" bestFit="1" customWidth="1"/>
    <col min="541" max="542" width="10" style="1" bestFit="1" customWidth="1"/>
    <col min="543" max="771" width="9.140625" style="1"/>
    <col min="772" max="772" width="89.85546875" style="1" customWidth="1"/>
    <col min="773" max="773" width="27.7109375" style="1" customWidth="1"/>
    <col min="774" max="774" width="25.7109375" style="1" customWidth="1"/>
    <col min="775" max="775" width="23.7109375" style="1" customWidth="1"/>
    <col min="776" max="776" width="24.140625" style="1" customWidth="1"/>
    <col min="777" max="777" width="23.7109375" style="1" customWidth="1"/>
    <col min="778" max="778" width="24.140625" style="1" customWidth="1"/>
    <col min="779" max="779" width="23.42578125" style="1" customWidth="1"/>
    <col min="780" max="780" width="24.140625" style="1" bestFit="1" customWidth="1"/>
    <col min="781" max="783" width="22.5703125" style="1" customWidth="1"/>
    <col min="784" max="784" width="22.5703125" style="1" bestFit="1" customWidth="1"/>
    <col min="785" max="785" width="23.7109375" style="1" bestFit="1" customWidth="1"/>
    <col min="786" max="786" width="9.140625" style="1"/>
    <col min="787" max="787" width="96.7109375" style="1" bestFit="1" customWidth="1"/>
    <col min="788" max="788" width="9.140625" style="1"/>
    <col min="789" max="796" width="8.5703125" style="1" bestFit="1" customWidth="1"/>
    <col min="797" max="798" width="10" style="1" bestFit="1" customWidth="1"/>
    <col min="799" max="1027" width="9.140625" style="1"/>
    <col min="1028" max="1028" width="89.85546875" style="1" customWidth="1"/>
    <col min="1029" max="1029" width="27.7109375" style="1" customWidth="1"/>
    <col min="1030" max="1030" width="25.7109375" style="1" customWidth="1"/>
    <col min="1031" max="1031" width="23.7109375" style="1" customWidth="1"/>
    <col min="1032" max="1032" width="24.140625" style="1" customWidth="1"/>
    <col min="1033" max="1033" width="23.7109375" style="1" customWidth="1"/>
    <col min="1034" max="1034" width="24.140625" style="1" customWidth="1"/>
    <col min="1035" max="1035" width="23.42578125" style="1" customWidth="1"/>
    <col min="1036" max="1036" width="24.140625" style="1" bestFit="1" customWidth="1"/>
    <col min="1037" max="1039" width="22.5703125" style="1" customWidth="1"/>
    <col min="1040" max="1040" width="22.5703125" style="1" bestFit="1" customWidth="1"/>
    <col min="1041" max="1041" width="23.7109375" style="1" bestFit="1" customWidth="1"/>
    <col min="1042" max="1042" width="9.140625" style="1"/>
    <col min="1043" max="1043" width="96.7109375" style="1" bestFit="1" customWidth="1"/>
    <col min="1044" max="1044" width="9.140625" style="1"/>
    <col min="1045" max="1052" width="8.5703125" style="1" bestFit="1" customWidth="1"/>
    <col min="1053" max="1054" width="10" style="1" bestFit="1" customWidth="1"/>
    <col min="1055" max="1283" width="9.140625" style="1"/>
    <col min="1284" max="1284" width="89.85546875" style="1" customWidth="1"/>
    <col min="1285" max="1285" width="27.7109375" style="1" customWidth="1"/>
    <col min="1286" max="1286" width="25.7109375" style="1" customWidth="1"/>
    <col min="1287" max="1287" width="23.7109375" style="1" customWidth="1"/>
    <col min="1288" max="1288" width="24.140625" style="1" customWidth="1"/>
    <col min="1289" max="1289" width="23.7109375" style="1" customWidth="1"/>
    <col min="1290" max="1290" width="24.140625" style="1" customWidth="1"/>
    <col min="1291" max="1291" width="23.42578125" style="1" customWidth="1"/>
    <col min="1292" max="1292" width="24.140625" style="1" bestFit="1" customWidth="1"/>
    <col min="1293" max="1295" width="22.5703125" style="1" customWidth="1"/>
    <col min="1296" max="1296" width="22.5703125" style="1" bestFit="1" customWidth="1"/>
    <col min="1297" max="1297" width="23.7109375" style="1" bestFit="1" customWidth="1"/>
    <col min="1298" max="1298" width="9.140625" style="1"/>
    <col min="1299" max="1299" width="96.7109375" style="1" bestFit="1" customWidth="1"/>
    <col min="1300" max="1300" width="9.140625" style="1"/>
    <col min="1301" max="1308" width="8.5703125" style="1" bestFit="1" customWidth="1"/>
    <col min="1309" max="1310" width="10" style="1" bestFit="1" customWidth="1"/>
    <col min="1311" max="1539" width="9.140625" style="1"/>
    <col min="1540" max="1540" width="89.85546875" style="1" customWidth="1"/>
    <col min="1541" max="1541" width="27.7109375" style="1" customWidth="1"/>
    <col min="1542" max="1542" width="25.7109375" style="1" customWidth="1"/>
    <col min="1543" max="1543" width="23.7109375" style="1" customWidth="1"/>
    <col min="1544" max="1544" width="24.140625" style="1" customWidth="1"/>
    <col min="1545" max="1545" width="23.7109375" style="1" customWidth="1"/>
    <col min="1546" max="1546" width="24.140625" style="1" customWidth="1"/>
    <col min="1547" max="1547" width="23.42578125" style="1" customWidth="1"/>
    <col min="1548" max="1548" width="24.140625" style="1" bestFit="1" customWidth="1"/>
    <col min="1549" max="1551" width="22.5703125" style="1" customWidth="1"/>
    <col min="1552" max="1552" width="22.5703125" style="1" bestFit="1" customWidth="1"/>
    <col min="1553" max="1553" width="23.7109375" style="1" bestFit="1" customWidth="1"/>
    <col min="1554" max="1554" width="9.140625" style="1"/>
    <col min="1555" max="1555" width="96.7109375" style="1" bestFit="1" customWidth="1"/>
    <col min="1556" max="1556" width="9.140625" style="1"/>
    <col min="1557" max="1564" width="8.5703125" style="1" bestFit="1" customWidth="1"/>
    <col min="1565" max="1566" width="10" style="1" bestFit="1" customWidth="1"/>
    <col min="1567" max="1795" width="9.140625" style="1"/>
    <col min="1796" max="1796" width="89.85546875" style="1" customWidth="1"/>
    <col min="1797" max="1797" width="27.7109375" style="1" customWidth="1"/>
    <col min="1798" max="1798" width="25.7109375" style="1" customWidth="1"/>
    <col min="1799" max="1799" width="23.7109375" style="1" customWidth="1"/>
    <col min="1800" max="1800" width="24.140625" style="1" customWidth="1"/>
    <col min="1801" max="1801" width="23.7109375" style="1" customWidth="1"/>
    <col min="1802" max="1802" width="24.140625" style="1" customWidth="1"/>
    <col min="1803" max="1803" width="23.42578125" style="1" customWidth="1"/>
    <col min="1804" max="1804" width="24.140625" style="1" bestFit="1" customWidth="1"/>
    <col min="1805" max="1807" width="22.5703125" style="1" customWidth="1"/>
    <col min="1808" max="1808" width="22.5703125" style="1" bestFit="1" customWidth="1"/>
    <col min="1809" max="1809" width="23.7109375" style="1" bestFit="1" customWidth="1"/>
    <col min="1810" max="1810" width="9.140625" style="1"/>
    <col min="1811" max="1811" width="96.7109375" style="1" bestFit="1" customWidth="1"/>
    <col min="1812" max="1812" width="9.140625" style="1"/>
    <col min="1813" max="1820" width="8.5703125" style="1" bestFit="1" customWidth="1"/>
    <col min="1821" max="1822" width="10" style="1" bestFit="1" customWidth="1"/>
    <col min="1823" max="2051" width="9.140625" style="1"/>
    <col min="2052" max="2052" width="89.85546875" style="1" customWidth="1"/>
    <col min="2053" max="2053" width="27.7109375" style="1" customWidth="1"/>
    <col min="2054" max="2054" width="25.7109375" style="1" customWidth="1"/>
    <col min="2055" max="2055" width="23.7109375" style="1" customWidth="1"/>
    <col min="2056" max="2056" width="24.140625" style="1" customWidth="1"/>
    <col min="2057" max="2057" width="23.7109375" style="1" customWidth="1"/>
    <col min="2058" max="2058" width="24.140625" style="1" customWidth="1"/>
    <col min="2059" max="2059" width="23.42578125" style="1" customWidth="1"/>
    <col min="2060" max="2060" width="24.140625" style="1" bestFit="1" customWidth="1"/>
    <col min="2061" max="2063" width="22.5703125" style="1" customWidth="1"/>
    <col min="2064" max="2064" width="22.5703125" style="1" bestFit="1" customWidth="1"/>
    <col min="2065" max="2065" width="23.7109375" style="1" bestFit="1" customWidth="1"/>
    <col min="2066" max="2066" width="9.140625" style="1"/>
    <col min="2067" max="2067" width="96.7109375" style="1" bestFit="1" customWidth="1"/>
    <col min="2068" max="2068" width="9.140625" style="1"/>
    <col min="2069" max="2076" width="8.5703125" style="1" bestFit="1" customWidth="1"/>
    <col min="2077" max="2078" width="10" style="1" bestFit="1" customWidth="1"/>
    <col min="2079" max="2307" width="9.140625" style="1"/>
    <col min="2308" max="2308" width="89.85546875" style="1" customWidth="1"/>
    <col min="2309" max="2309" width="27.7109375" style="1" customWidth="1"/>
    <col min="2310" max="2310" width="25.7109375" style="1" customWidth="1"/>
    <col min="2311" max="2311" width="23.7109375" style="1" customWidth="1"/>
    <col min="2312" max="2312" width="24.140625" style="1" customWidth="1"/>
    <col min="2313" max="2313" width="23.7109375" style="1" customWidth="1"/>
    <col min="2314" max="2314" width="24.140625" style="1" customWidth="1"/>
    <col min="2315" max="2315" width="23.42578125" style="1" customWidth="1"/>
    <col min="2316" max="2316" width="24.140625" style="1" bestFit="1" customWidth="1"/>
    <col min="2317" max="2319" width="22.5703125" style="1" customWidth="1"/>
    <col min="2320" max="2320" width="22.5703125" style="1" bestFit="1" customWidth="1"/>
    <col min="2321" max="2321" width="23.7109375" style="1" bestFit="1" customWidth="1"/>
    <col min="2322" max="2322" width="9.140625" style="1"/>
    <col min="2323" max="2323" width="96.7109375" style="1" bestFit="1" customWidth="1"/>
    <col min="2324" max="2324" width="9.140625" style="1"/>
    <col min="2325" max="2332" width="8.5703125" style="1" bestFit="1" customWidth="1"/>
    <col min="2333" max="2334" width="10" style="1" bestFit="1" customWidth="1"/>
    <col min="2335" max="2563" width="9.140625" style="1"/>
    <col min="2564" max="2564" width="89.85546875" style="1" customWidth="1"/>
    <col min="2565" max="2565" width="27.7109375" style="1" customWidth="1"/>
    <col min="2566" max="2566" width="25.7109375" style="1" customWidth="1"/>
    <col min="2567" max="2567" width="23.7109375" style="1" customWidth="1"/>
    <col min="2568" max="2568" width="24.140625" style="1" customWidth="1"/>
    <col min="2569" max="2569" width="23.7109375" style="1" customWidth="1"/>
    <col min="2570" max="2570" width="24.140625" style="1" customWidth="1"/>
    <col min="2571" max="2571" width="23.42578125" style="1" customWidth="1"/>
    <col min="2572" max="2572" width="24.140625" style="1" bestFit="1" customWidth="1"/>
    <col min="2573" max="2575" width="22.5703125" style="1" customWidth="1"/>
    <col min="2576" max="2576" width="22.5703125" style="1" bestFit="1" customWidth="1"/>
    <col min="2577" max="2577" width="23.7109375" style="1" bestFit="1" customWidth="1"/>
    <col min="2578" max="2578" width="9.140625" style="1"/>
    <col min="2579" max="2579" width="96.7109375" style="1" bestFit="1" customWidth="1"/>
    <col min="2580" max="2580" width="9.140625" style="1"/>
    <col min="2581" max="2588" width="8.5703125" style="1" bestFit="1" customWidth="1"/>
    <col min="2589" max="2590" width="10" style="1" bestFit="1" customWidth="1"/>
    <col min="2591" max="2819" width="9.140625" style="1"/>
    <col min="2820" max="2820" width="89.85546875" style="1" customWidth="1"/>
    <col min="2821" max="2821" width="27.7109375" style="1" customWidth="1"/>
    <col min="2822" max="2822" width="25.7109375" style="1" customWidth="1"/>
    <col min="2823" max="2823" width="23.7109375" style="1" customWidth="1"/>
    <col min="2824" max="2824" width="24.140625" style="1" customWidth="1"/>
    <col min="2825" max="2825" width="23.7109375" style="1" customWidth="1"/>
    <col min="2826" max="2826" width="24.140625" style="1" customWidth="1"/>
    <col min="2827" max="2827" width="23.42578125" style="1" customWidth="1"/>
    <col min="2828" max="2828" width="24.140625" style="1" bestFit="1" customWidth="1"/>
    <col min="2829" max="2831" width="22.5703125" style="1" customWidth="1"/>
    <col min="2832" max="2832" width="22.5703125" style="1" bestFit="1" customWidth="1"/>
    <col min="2833" max="2833" width="23.7109375" style="1" bestFit="1" customWidth="1"/>
    <col min="2834" max="2834" width="9.140625" style="1"/>
    <col min="2835" max="2835" width="96.7109375" style="1" bestFit="1" customWidth="1"/>
    <col min="2836" max="2836" width="9.140625" style="1"/>
    <col min="2837" max="2844" width="8.5703125" style="1" bestFit="1" customWidth="1"/>
    <col min="2845" max="2846" width="10" style="1" bestFit="1" customWidth="1"/>
    <col min="2847" max="3075" width="9.140625" style="1"/>
    <col min="3076" max="3076" width="89.85546875" style="1" customWidth="1"/>
    <col min="3077" max="3077" width="27.7109375" style="1" customWidth="1"/>
    <col min="3078" max="3078" width="25.7109375" style="1" customWidth="1"/>
    <col min="3079" max="3079" width="23.7109375" style="1" customWidth="1"/>
    <col min="3080" max="3080" width="24.140625" style="1" customWidth="1"/>
    <col min="3081" max="3081" width="23.7109375" style="1" customWidth="1"/>
    <col min="3082" max="3082" width="24.140625" style="1" customWidth="1"/>
    <col min="3083" max="3083" width="23.42578125" style="1" customWidth="1"/>
    <col min="3084" max="3084" width="24.140625" style="1" bestFit="1" customWidth="1"/>
    <col min="3085" max="3087" width="22.5703125" style="1" customWidth="1"/>
    <col min="3088" max="3088" width="22.5703125" style="1" bestFit="1" customWidth="1"/>
    <col min="3089" max="3089" width="23.7109375" style="1" bestFit="1" customWidth="1"/>
    <col min="3090" max="3090" width="9.140625" style="1"/>
    <col min="3091" max="3091" width="96.7109375" style="1" bestFit="1" customWidth="1"/>
    <col min="3092" max="3092" width="9.140625" style="1"/>
    <col min="3093" max="3100" width="8.5703125" style="1" bestFit="1" customWidth="1"/>
    <col min="3101" max="3102" width="10" style="1" bestFit="1" customWidth="1"/>
    <col min="3103" max="3331" width="9.140625" style="1"/>
    <col min="3332" max="3332" width="89.85546875" style="1" customWidth="1"/>
    <col min="3333" max="3333" width="27.7109375" style="1" customWidth="1"/>
    <col min="3334" max="3334" width="25.7109375" style="1" customWidth="1"/>
    <col min="3335" max="3335" width="23.7109375" style="1" customWidth="1"/>
    <col min="3336" max="3336" width="24.140625" style="1" customWidth="1"/>
    <col min="3337" max="3337" width="23.7109375" style="1" customWidth="1"/>
    <col min="3338" max="3338" width="24.140625" style="1" customWidth="1"/>
    <col min="3339" max="3339" width="23.42578125" style="1" customWidth="1"/>
    <col min="3340" max="3340" width="24.140625" style="1" bestFit="1" customWidth="1"/>
    <col min="3341" max="3343" width="22.5703125" style="1" customWidth="1"/>
    <col min="3344" max="3344" width="22.5703125" style="1" bestFit="1" customWidth="1"/>
    <col min="3345" max="3345" width="23.7109375" style="1" bestFit="1" customWidth="1"/>
    <col min="3346" max="3346" width="9.140625" style="1"/>
    <col min="3347" max="3347" width="96.7109375" style="1" bestFit="1" customWidth="1"/>
    <col min="3348" max="3348" width="9.140625" style="1"/>
    <col min="3349" max="3356" width="8.5703125" style="1" bestFit="1" customWidth="1"/>
    <col min="3357" max="3358" width="10" style="1" bestFit="1" customWidth="1"/>
    <col min="3359" max="3587" width="9.140625" style="1"/>
    <col min="3588" max="3588" width="89.85546875" style="1" customWidth="1"/>
    <col min="3589" max="3589" width="27.7109375" style="1" customWidth="1"/>
    <col min="3590" max="3590" width="25.7109375" style="1" customWidth="1"/>
    <col min="3591" max="3591" width="23.7109375" style="1" customWidth="1"/>
    <col min="3592" max="3592" width="24.140625" style="1" customWidth="1"/>
    <col min="3593" max="3593" width="23.7109375" style="1" customWidth="1"/>
    <col min="3594" max="3594" width="24.140625" style="1" customWidth="1"/>
    <col min="3595" max="3595" width="23.42578125" style="1" customWidth="1"/>
    <col min="3596" max="3596" width="24.140625" style="1" bestFit="1" customWidth="1"/>
    <col min="3597" max="3599" width="22.5703125" style="1" customWidth="1"/>
    <col min="3600" max="3600" width="22.5703125" style="1" bestFit="1" customWidth="1"/>
    <col min="3601" max="3601" width="23.7109375" style="1" bestFit="1" customWidth="1"/>
    <col min="3602" max="3602" width="9.140625" style="1"/>
    <col min="3603" max="3603" width="96.7109375" style="1" bestFit="1" customWidth="1"/>
    <col min="3604" max="3604" width="9.140625" style="1"/>
    <col min="3605" max="3612" width="8.5703125" style="1" bestFit="1" customWidth="1"/>
    <col min="3613" max="3614" width="10" style="1" bestFit="1" customWidth="1"/>
    <col min="3615" max="3843" width="9.140625" style="1"/>
    <col min="3844" max="3844" width="89.85546875" style="1" customWidth="1"/>
    <col min="3845" max="3845" width="27.7109375" style="1" customWidth="1"/>
    <col min="3846" max="3846" width="25.7109375" style="1" customWidth="1"/>
    <col min="3847" max="3847" width="23.7109375" style="1" customWidth="1"/>
    <col min="3848" max="3848" width="24.140625" style="1" customWidth="1"/>
    <col min="3849" max="3849" width="23.7109375" style="1" customWidth="1"/>
    <col min="3850" max="3850" width="24.140625" style="1" customWidth="1"/>
    <col min="3851" max="3851" width="23.42578125" style="1" customWidth="1"/>
    <col min="3852" max="3852" width="24.140625" style="1" bestFit="1" customWidth="1"/>
    <col min="3853" max="3855" width="22.5703125" style="1" customWidth="1"/>
    <col min="3856" max="3856" width="22.5703125" style="1" bestFit="1" customWidth="1"/>
    <col min="3857" max="3857" width="23.7109375" style="1" bestFit="1" customWidth="1"/>
    <col min="3858" max="3858" width="9.140625" style="1"/>
    <col min="3859" max="3859" width="96.7109375" style="1" bestFit="1" customWidth="1"/>
    <col min="3860" max="3860" width="9.140625" style="1"/>
    <col min="3861" max="3868" width="8.5703125" style="1" bestFit="1" customWidth="1"/>
    <col min="3869" max="3870" width="10" style="1" bestFit="1" customWidth="1"/>
    <col min="3871" max="4099" width="9.140625" style="1"/>
    <col min="4100" max="4100" width="89.85546875" style="1" customWidth="1"/>
    <col min="4101" max="4101" width="27.7109375" style="1" customWidth="1"/>
    <col min="4102" max="4102" width="25.7109375" style="1" customWidth="1"/>
    <col min="4103" max="4103" width="23.7109375" style="1" customWidth="1"/>
    <col min="4104" max="4104" width="24.140625" style="1" customWidth="1"/>
    <col min="4105" max="4105" width="23.7109375" style="1" customWidth="1"/>
    <col min="4106" max="4106" width="24.140625" style="1" customWidth="1"/>
    <col min="4107" max="4107" width="23.42578125" style="1" customWidth="1"/>
    <col min="4108" max="4108" width="24.140625" style="1" bestFit="1" customWidth="1"/>
    <col min="4109" max="4111" width="22.5703125" style="1" customWidth="1"/>
    <col min="4112" max="4112" width="22.5703125" style="1" bestFit="1" customWidth="1"/>
    <col min="4113" max="4113" width="23.7109375" style="1" bestFit="1" customWidth="1"/>
    <col min="4114" max="4114" width="9.140625" style="1"/>
    <col min="4115" max="4115" width="96.7109375" style="1" bestFit="1" customWidth="1"/>
    <col min="4116" max="4116" width="9.140625" style="1"/>
    <col min="4117" max="4124" width="8.5703125" style="1" bestFit="1" customWidth="1"/>
    <col min="4125" max="4126" width="10" style="1" bestFit="1" customWidth="1"/>
    <col min="4127" max="4355" width="9.140625" style="1"/>
    <col min="4356" max="4356" width="89.85546875" style="1" customWidth="1"/>
    <col min="4357" max="4357" width="27.7109375" style="1" customWidth="1"/>
    <col min="4358" max="4358" width="25.7109375" style="1" customWidth="1"/>
    <col min="4359" max="4359" width="23.7109375" style="1" customWidth="1"/>
    <col min="4360" max="4360" width="24.140625" style="1" customWidth="1"/>
    <col min="4361" max="4361" width="23.7109375" style="1" customWidth="1"/>
    <col min="4362" max="4362" width="24.140625" style="1" customWidth="1"/>
    <col min="4363" max="4363" width="23.42578125" style="1" customWidth="1"/>
    <col min="4364" max="4364" width="24.140625" style="1" bestFit="1" customWidth="1"/>
    <col min="4365" max="4367" width="22.5703125" style="1" customWidth="1"/>
    <col min="4368" max="4368" width="22.5703125" style="1" bestFit="1" customWidth="1"/>
    <col min="4369" max="4369" width="23.7109375" style="1" bestFit="1" customWidth="1"/>
    <col min="4370" max="4370" width="9.140625" style="1"/>
    <col min="4371" max="4371" width="96.7109375" style="1" bestFit="1" customWidth="1"/>
    <col min="4372" max="4372" width="9.140625" style="1"/>
    <col min="4373" max="4380" width="8.5703125" style="1" bestFit="1" customWidth="1"/>
    <col min="4381" max="4382" width="10" style="1" bestFit="1" customWidth="1"/>
    <col min="4383" max="4611" width="9.140625" style="1"/>
    <col min="4612" max="4612" width="89.85546875" style="1" customWidth="1"/>
    <col min="4613" max="4613" width="27.7109375" style="1" customWidth="1"/>
    <col min="4614" max="4614" width="25.7109375" style="1" customWidth="1"/>
    <col min="4615" max="4615" width="23.7109375" style="1" customWidth="1"/>
    <col min="4616" max="4616" width="24.140625" style="1" customWidth="1"/>
    <col min="4617" max="4617" width="23.7109375" style="1" customWidth="1"/>
    <col min="4618" max="4618" width="24.140625" style="1" customWidth="1"/>
    <col min="4619" max="4619" width="23.42578125" style="1" customWidth="1"/>
    <col min="4620" max="4620" width="24.140625" style="1" bestFit="1" customWidth="1"/>
    <col min="4621" max="4623" width="22.5703125" style="1" customWidth="1"/>
    <col min="4624" max="4624" width="22.5703125" style="1" bestFit="1" customWidth="1"/>
    <col min="4625" max="4625" width="23.7109375" style="1" bestFit="1" customWidth="1"/>
    <col min="4626" max="4626" width="9.140625" style="1"/>
    <col min="4627" max="4627" width="96.7109375" style="1" bestFit="1" customWidth="1"/>
    <col min="4628" max="4628" width="9.140625" style="1"/>
    <col min="4629" max="4636" width="8.5703125" style="1" bestFit="1" customWidth="1"/>
    <col min="4637" max="4638" width="10" style="1" bestFit="1" customWidth="1"/>
    <col min="4639" max="4867" width="9.140625" style="1"/>
    <col min="4868" max="4868" width="89.85546875" style="1" customWidth="1"/>
    <col min="4869" max="4869" width="27.7109375" style="1" customWidth="1"/>
    <col min="4870" max="4870" width="25.7109375" style="1" customWidth="1"/>
    <col min="4871" max="4871" width="23.7109375" style="1" customWidth="1"/>
    <col min="4872" max="4872" width="24.140625" style="1" customWidth="1"/>
    <col min="4873" max="4873" width="23.7109375" style="1" customWidth="1"/>
    <col min="4874" max="4874" width="24.140625" style="1" customWidth="1"/>
    <col min="4875" max="4875" width="23.42578125" style="1" customWidth="1"/>
    <col min="4876" max="4876" width="24.140625" style="1" bestFit="1" customWidth="1"/>
    <col min="4877" max="4879" width="22.5703125" style="1" customWidth="1"/>
    <col min="4880" max="4880" width="22.5703125" style="1" bestFit="1" customWidth="1"/>
    <col min="4881" max="4881" width="23.7109375" style="1" bestFit="1" customWidth="1"/>
    <col min="4882" max="4882" width="9.140625" style="1"/>
    <col min="4883" max="4883" width="96.7109375" style="1" bestFit="1" customWidth="1"/>
    <col min="4884" max="4884" width="9.140625" style="1"/>
    <col min="4885" max="4892" width="8.5703125" style="1" bestFit="1" customWidth="1"/>
    <col min="4893" max="4894" width="10" style="1" bestFit="1" customWidth="1"/>
    <col min="4895" max="5123" width="9.140625" style="1"/>
    <col min="5124" max="5124" width="89.85546875" style="1" customWidth="1"/>
    <col min="5125" max="5125" width="27.7109375" style="1" customWidth="1"/>
    <col min="5126" max="5126" width="25.7109375" style="1" customWidth="1"/>
    <col min="5127" max="5127" width="23.7109375" style="1" customWidth="1"/>
    <col min="5128" max="5128" width="24.140625" style="1" customWidth="1"/>
    <col min="5129" max="5129" width="23.7109375" style="1" customWidth="1"/>
    <col min="5130" max="5130" width="24.140625" style="1" customWidth="1"/>
    <col min="5131" max="5131" width="23.42578125" style="1" customWidth="1"/>
    <col min="5132" max="5132" width="24.140625" style="1" bestFit="1" customWidth="1"/>
    <col min="5133" max="5135" width="22.5703125" style="1" customWidth="1"/>
    <col min="5136" max="5136" width="22.5703125" style="1" bestFit="1" customWidth="1"/>
    <col min="5137" max="5137" width="23.7109375" style="1" bestFit="1" customWidth="1"/>
    <col min="5138" max="5138" width="9.140625" style="1"/>
    <col min="5139" max="5139" width="96.7109375" style="1" bestFit="1" customWidth="1"/>
    <col min="5140" max="5140" width="9.140625" style="1"/>
    <col min="5141" max="5148" width="8.5703125" style="1" bestFit="1" customWidth="1"/>
    <col min="5149" max="5150" width="10" style="1" bestFit="1" customWidth="1"/>
    <col min="5151" max="5379" width="9.140625" style="1"/>
    <col min="5380" max="5380" width="89.85546875" style="1" customWidth="1"/>
    <col min="5381" max="5381" width="27.7109375" style="1" customWidth="1"/>
    <col min="5382" max="5382" width="25.7109375" style="1" customWidth="1"/>
    <col min="5383" max="5383" width="23.7109375" style="1" customWidth="1"/>
    <col min="5384" max="5384" width="24.140625" style="1" customWidth="1"/>
    <col min="5385" max="5385" width="23.7109375" style="1" customWidth="1"/>
    <col min="5386" max="5386" width="24.140625" style="1" customWidth="1"/>
    <col min="5387" max="5387" width="23.42578125" style="1" customWidth="1"/>
    <col min="5388" max="5388" width="24.140625" style="1" bestFit="1" customWidth="1"/>
    <col min="5389" max="5391" width="22.5703125" style="1" customWidth="1"/>
    <col min="5392" max="5392" width="22.5703125" style="1" bestFit="1" customWidth="1"/>
    <col min="5393" max="5393" width="23.7109375" style="1" bestFit="1" customWidth="1"/>
    <col min="5394" max="5394" width="9.140625" style="1"/>
    <col min="5395" max="5395" width="96.7109375" style="1" bestFit="1" customWidth="1"/>
    <col min="5396" max="5396" width="9.140625" style="1"/>
    <col min="5397" max="5404" width="8.5703125" style="1" bestFit="1" customWidth="1"/>
    <col min="5405" max="5406" width="10" style="1" bestFit="1" customWidth="1"/>
    <col min="5407" max="5635" width="9.140625" style="1"/>
    <col min="5636" max="5636" width="89.85546875" style="1" customWidth="1"/>
    <col min="5637" max="5637" width="27.7109375" style="1" customWidth="1"/>
    <col min="5638" max="5638" width="25.7109375" style="1" customWidth="1"/>
    <col min="5639" max="5639" width="23.7109375" style="1" customWidth="1"/>
    <col min="5640" max="5640" width="24.140625" style="1" customWidth="1"/>
    <col min="5641" max="5641" width="23.7109375" style="1" customWidth="1"/>
    <col min="5642" max="5642" width="24.140625" style="1" customWidth="1"/>
    <col min="5643" max="5643" width="23.42578125" style="1" customWidth="1"/>
    <col min="5644" max="5644" width="24.140625" style="1" bestFit="1" customWidth="1"/>
    <col min="5645" max="5647" width="22.5703125" style="1" customWidth="1"/>
    <col min="5648" max="5648" width="22.5703125" style="1" bestFit="1" customWidth="1"/>
    <col min="5649" max="5649" width="23.7109375" style="1" bestFit="1" customWidth="1"/>
    <col min="5650" max="5650" width="9.140625" style="1"/>
    <col min="5651" max="5651" width="96.7109375" style="1" bestFit="1" customWidth="1"/>
    <col min="5652" max="5652" width="9.140625" style="1"/>
    <col min="5653" max="5660" width="8.5703125" style="1" bestFit="1" customWidth="1"/>
    <col min="5661" max="5662" width="10" style="1" bestFit="1" customWidth="1"/>
    <col min="5663" max="5891" width="9.140625" style="1"/>
    <col min="5892" max="5892" width="89.85546875" style="1" customWidth="1"/>
    <col min="5893" max="5893" width="27.7109375" style="1" customWidth="1"/>
    <col min="5894" max="5894" width="25.7109375" style="1" customWidth="1"/>
    <col min="5895" max="5895" width="23.7109375" style="1" customWidth="1"/>
    <col min="5896" max="5896" width="24.140625" style="1" customWidth="1"/>
    <col min="5897" max="5897" width="23.7109375" style="1" customWidth="1"/>
    <col min="5898" max="5898" width="24.140625" style="1" customWidth="1"/>
    <col min="5899" max="5899" width="23.42578125" style="1" customWidth="1"/>
    <col min="5900" max="5900" width="24.140625" style="1" bestFit="1" customWidth="1"/>
    <col min="5901" max="5903" width="22.5703125" style="1" customWidth="1"/>
    <col min="5904" max="5904" width="22.5703125" style="1" bestFit="1" customWidth="1"/>
    <col min="5905" max="5905" width="23.7109375" style="1" bestFit="1" customWidth="1"/>
    <col min="5906" max="5906" width="9.140625" style="1"/>
    <col min="5907" max="5907" width="96.7109375" style="1" bestFit="1" customWidth="1"/>
    <col min="5908" max="5908" width="9.140625" style="1"/>
    <col min="5909" max="5916" width="8.5703125" style="1" bestFit="1" customWidth="1"/>
    <col min="5917" max="5918" width="10" style="1" bestFit="1" customWidth="1"/>
    <col min="5919" max="6147" width="9.140625" style="1"/>
    <col min="6148" max="6148" width="89.85546875" style="1" customWidth="1"/>
    <col min="6149" max="6149" width="27.7109375" style="1" customWidth="1"/>
    <col min="6150" max="6150" width="25.7109375" style="1" customWidth="1"/>
    <col min="6151" max="6151" width="23.7109375" style="1" customWidth="1"/>
    <col min="6152" max="6152" width="24.140625" style="1" customWidth="1"/>
    <col min="6153" max="6153" width="23.7109375" style="1" customWidth="1"/>
    <col min="6154" max="6154" width="24.140625" style="1" customWidth="1"/>
    <col min="6155" max="6155" width="23.42578125" style="1" customWidth="1"/>
    <col min="6156" max="6156" width="24.140625" style="1" bestFit="1" customWidth="1"/>
    <col min="6157" max="6159" width="22.5703125" style="1" customWidth="1"/>
    <col min="6160" max="6160" width="22.5703125" style="1" bestFit="1" customWidth="1"/>
    <col min="6161" max="6161" width="23.7109375" style="1" bestFit="1" customWidth="1"/>
    <col min="6162" max="6162" width="9.140625" style="1"/>
    <col min="6163" max="6163" width="96.7109375" style="1" bestFit="1" customWidth="1"/>
    <col min="6164" max="6164" width="9.140625" style="1"/>
    <col min="6165" max="6172" width="8.5703125" style="1" bestFit="1" customWidth="1"/>
    <col min="6173" max="6174" width="10" style="1" bestFit="1" customWidth="1"/>
    <col min="6175" max="6403" width="9.140625" style="1"/>
    <col min="6404" max="6404" width="89.85546875" style="1" customWidth="1"/>
    <col min="6405" max="6405" width="27.7109375" style="1" customWidth="1"/>
    <col min="6406" max="6406" width="25.7109375" style="1" customWidth="1"/>
    <col min="6407" max="6407" width="23.7109375" style="1" customWidth="1"/>
    <col min="6408" max="6408" width="24.140625" style="1" customWidth="1"/>
    <col min="6409" max="6409" width="23.7109375" style="1" customWidth="1"/>
    <col min="6410" max="6410" width="24.140625" style="1" customWidth="1"/>
    <col min="6411" max="6411" width="23.42578125" style="1" customWidth="1"/>
    <col min="6412" max="6412" width="24.140625" style="1" bestFit="1" customWidth="1"/>
    <col min="6413" max="6415" width="22.5703125" style="1" customWidth="1"/>
    <col min="6416" max="6416" width="22.5703125" style="1" bestFit="1" customWidth="1"/>
    <col min="6417" max="6417" width="23.7109375" style="1" bestFit="1" customWidth="1"/>
    <col min="6418" max="6418" width="9.140625" style="1"/>
    <col min="6419" max="6419" width="96.7109375" style="1" bestFit="1" customWidth="1"/>
    <col min="6420" max="6420" width="9.140625" style="1"/>
    <col min="6421" max="6428" width="8.5703125" style="1" bestFit="1" customWidth="1"/>
    <col min="6429" max="6430" width="10" style="1" bestFit="1" customWidth="1"/>
    <col min="6431" max="6659" width="9.140625" style="1"/>
    <col min="6660" max="6660" width="89.85546875" style="1" customWidth="1"/>
    <col min="6661" max="6661" width="27.7109375" style="1" customWidth="1"/>
    <col min="6662" max="6662" width="25.7109375" style="1" customWidth="1"/>
    <col min="6663" max="6663" width="23.7109375" style="1" customWidth="1"/>
    <col min="6664" max="6664" width="24.140625" style="1" customWidth="1"/>
    <col min="6665" max="6665" width="23.7109375" style="1" customWidth="1"/>
    <col min="6666" max="6666" width="24.140625" style="1" customWidth="1"/>
    <col min="6667" max="6667" width="23.42578125" style="1" customWidth="1"/>
    <col min="6668" max="6668" width="24.140625" style="1" bestFit="1" customWidth="1"/>
    <col min="6669" max="6671" width="22.5703125" style="1" customWidth="1"/>
    <col min="6672" max="6672" width="22.5703125" style="1" bestFit="1" customWidth="1"/>
    <col min="6673" max="6673" width="23.7109375" style="1" bestFit="1" customWidth="1"/>
    <col min="6674" max="6674" width="9.140625" style="1"/>
    <col min="6675" max="6675" width="96.7109375" style="1" bestFit="1" customWidth="1"/>
    <col min="6676" max="6676" width="9.140625" style="1"/>
    <col min="6677" max="6684" width="8.5703125" style="1" bestFit="1" customWidth="1"/>
    <col min="6685" max="6686" width="10" style="1" bestFit="1" customWidth="1"/>
    <col min="6687" max="6915" width="9.140625" style="1"/>
    <col min="6916" max="6916" width="89.85546875" style="1" customWidth="1"/>
    <col min="6917" max="6917" width="27.7109375" style="1" customWidth="1"/>
    <col min="6918" max="6918" width="25.7109375" style="1" customWidth="1"/>
    <col min="6919" max="6919" width="23.7109375" style="1" customWidth="1"/>
    <col min="6920" max="6920" width="24.140625" style="1" customWidth="1"/>
    <col min="6921" max="6921" width="23.7109375" style="1" customWidth="1"/>
    <col min="6922" max="6922" width="24.140625" style="1" customWidth="1"/>
    <col min="6923" max="6923" width="23.42578125" style="1" customWidth="1"/>
    <col min="6924" max="6924" width="24.140625" style="1" bestFit="1" customWidth="1"/>
    <col min="6925" max="6927" width="22.5703125" style="1" customWidth="1"/>
    <col min="6928" max="6928" width="22.5703125" style="1" bestFit="1" customWidth="1"/>
    <col min="6929" max="6929" width="23.7109375" style="1" bestFit="1" customWidth="1"/>
    <col min="6930" max="6930" width="9.140625" style="1"/>
    <col min="6931" max="6931" width="96.7109375" style="1" bestFit="1" customWidth="1"/>
    <col min="6932" max="6932" width="9.140625" style="1"/>
    <col min="6933" max="6940" width="8.5703125" style="1" bestFit="1" customWidth="1"/>
    <col min="6941" max="6942" width="10" style="1" bestFit="1" customWidth="1"/>
    <col min="6943" max="7171" width="9.140625" style="1"/>
    <col min="7172" max="7172" width="89.85546875" style="1" customWidth="1"/>
    <col min="7173" max="7173" width="27.7109375" style="1" customWidth="1"/>
    <col min="7174" max="7174" width="25.7109375" style="1" customWidth="1"/>
    <col min="7175" max="7175" width="23.7109375" style="1" customWidth="1"/>
    <col min="7176" max="7176" width="24.140625" style="1" customWidth="1"/>
    <col min="7177" max="7177" width="23.7109375" style="1" customWidth="1"/>
    <col min="7178" max="7178" width="24.140625" style="1" customWidth="1"/>
    <col min="7179" max="7179" width="23.42578125" style="1" customWidth="1"/>
    <col min="7180" max="7180" width="24.140625" style="1" bestFit="1" customWidth="1"/>
    <col min="7181" max="7183" width="22.5703125" style="1" customWidth="1"/>
    <col min="7184" max="7184" width="22.5703125" style="1" bestFit="1" customWidth="1"/>
    <col min="7185" max="7185" width="23.7109375" style="1" bestFit="1" customWidth="1"/>
    <col min="7186" max="7186" width="9.140625" style="1"/>
    <col min="7187" max="7187" width="96.7109375" style="1" bestFit="1" customWidth="1"/>
    <col min="7188" max="7188" width="9.140625" style="1"/>
    <col min="7189" max="7196" width="8.5703125" style="1" bestFit="1" customWidth="1"/>
    <col min="7197" max="7198" width="10" style="1" bestFit="1" customWidth="1"/>
    <col min="7199" max="7427" width="9.140625" style="1"/>
    <col min="7428" max="7428" width="89.85546875" style="1" customWidth="1"/>
    <col min="7429" max="7429" width="27.7109375" style="1" customWidth="1"/>
    <col min="7430" max="7430" width="25.7109375" style="1" customWidth="1"/>
    <col min="7431" max="7431" width="23.7109375" style="1" customWidth="1"/>
    <col min="7432" max="7432" width="24.140625" style="1" customWidth="1"/>
    <col min="7433" max="7433" width="23.7109375" style="1" customWidth="1"/>
    <col min="7434" max="7434" width="24.140625" style="1" customWidth="1"/>
    <col min="7435" max="7435" width="23.42578125" style="1" customWidth="1"/>
    <col min="7436" max="7436" width="24.140625" style="1" bestFit="1" customWidth="1"/>
    <col min="7437" max="7439" width="22.5703125" style="1" customWidth="1"/>
    <col min="7440" max="7440" width="22.5703125" style="1" bestFit="1" customWidth="1"/>
    <col min="7441" max="7441" width="23.7109375" style="1" bestFit="1" customWidth="1"/>
    <col min="7442" max="7442" width="9.140625" style="1"/>
    <col min="7443" max="7443" width="96.7109375" style="1" bestFit="1" customWidth="1"/>
    <col min="7444" max="7444" width="9.140625" style="1"/>
    <col min="7445" max="7452" width="8.5703125" style="1" bestFit="1" customWidth="1"/>
    <col min="7453" max="7454" width="10" style="1" bestFit="1" customWidth="1"/>
    <col min="7455" max="7683" width="9.140625" style="1"/>
    <col min="7684" max="7684" width="89.85546875" style="1" customWidth="1"/>
    <col min="7685" max="7685" width="27.7109375" style="1" customWidth="1"/>
    <col min="7686" max="7686" width="25.7109375" style="1" customWidth="1"/>
    <col min="7687" max="7687" width="23.7109375" style="1" customWidth="1"/>
    <col min="7688" max="7688" width="24.140625" style="1" customWidth="1"/>
    <col min="7689" max="7689" width="23.7109375" style="1" customWidth="1"/>
    <col min="7690" max="7690" width="24.140625" style="1" customWidth="1"/>
    <col min="7691" max="7691" width="23.42578125" style="1" customWidth="1"/>
    <col min="7692" max="7692" width="24.140625" style="1" bestFit="1" customWidth="1"/>
    <col min="7693" max="7695" width="22.5703125" style="1" customWidth="1"/>
    <col min="7696" max="7696" width="22.5703125" style="1" bestFit="1" customWidth="1"/>
    <col min="7697" max="7697" width="23.7109375" style="1" bestFit="1" customWidth="1"/>
    <col min="7698" max="7698" width="9.140625" style="1"/>
    <col min="7699" max="7699" width="96.7109375" style="1" bestFit="1" customWidth="1"/>
    <col min="7700" max="7700" width="9.140625" style="1"/>
    <col min="7701" max="7708" width="8.5703125" style="1" bestFit="1" customWidth="1"/>
    <col min="7709" max="7710" width="10" style="1" bestFit="1" customWidth="1"/>
    <col min="7711" max="7939" width="9.140625" style="1"/>
    <col min="7940" max="7940" width="89.85546875" style="1" customWidth="1"/>
    <col min="7941" max="7941" width="27.7109375" style="1" customWidth="1"/>
    <col min="7942" max="7942" width="25.7109375" style="1" customWidth="1"/>
    <col min="7943" max="7943" width="23.7109375" style="1" customWidth="1"/>
    <col min="7944" max="7944" width="24.140625" style="1" customWidth="1"/>
    <col min="7945" max="7945" width="23.7109375" style="1" customWidth="1"/>
    <col min="7946" max="7946" width="24.140625" style="1" customWidth="1"/>
    <col min="7947" max="7947" width="23.42578125" style="1" customWidth="1"/>
    <col min="7948" max="7948" width="24.140625" style="1" bestFit="1" customWidth="1"/>
    <col min="7949" max="7951" width="22.5703125" style="1" customWidth="1"/>
    <col min="7952" max="7952" width="22.5703125" style="1" bestFit="1" customWidth="1"/>
    <col min="7953" max="7953" width="23.7109375" style="1" bestFit="1" customWidth="1"/>
    <col min="7954" max="7954" width="9.140625" style="1"/>
    <col min="7955" max="7955" width="96.7109375" style="1" bestFit="1" customWidth="1"/>
    <col min="7956" max="7956" width="9.140625" style="1"/>
    <col min="7957" max="7964" width="8.5703125" style="1" bestFit="1" customWidth="1"/>
    <col min="7965" max="7966" width="10" style="1" bestFit="1" customWidth="1"/>
    <col min="7967" max="8195" width="9.140625" style="1"/>
    <col min="8196" max="8196" width="89.85546875" style="1" customWidth="1"/>
    <col min="8197" max="8197" width="27.7109375" style="1" customWidth="1"/>
    <col min="8198" max="8198" width="25.7109375" style="1" customWidth="1"/>
    <col min="8199" max="8199" width="23.7109375" style="1" customWidth="1"/>
    <col min="8200" max="8200" width="24.140625" style="1" customWidth="1"/>
    <col min="8201" max="8201" width="23.7109375" style="1" customWidth="1"/>
    <col min="8202" max="8202" width="24.140625" style="1" customWidth="1"/>
    <col min="8203" max="8203" width="23.42578125" style="1" customWidth="1"/>
    <col min="8204" max="8204" width="24.140625" style="1" bestFit="1" customWidth="1"/>
    <col min="8205" max="8207" width="22.5703125" style="1" customWidth="1"/>
    <col min="8208" max="8208" width="22.5703125" style="1" bestFit="1" customWidth="1"/>
    <col min="8209" max="8209" width="23.7109375" style="1" bestFit="1" customWidth="1"/>
    <col min="8210" max="8210" width="9.140625" style="1"/>
    <col min="8211" max="8211" width="96.7109375" style="1" bestFit="1" customWidth="1"/>
    <col min="8212" max="8212" width="9.140625" style="1"/>
    <col min="8213" max="8220" width="8.5703125" style="1" bestFit="1" customWidth="1"/>
    <col min="8221" max="8222" width="10" style="1" bestFit="1" customWidth="1"/>
    <col min="8223" max="8451" width="9.140625" style="1"/>
    <col min="8452" max="8452" width="89.85546875" style="1" customWidth="1"/>
    <col min="8453" max="8453" width="27.7109375" style="1" customWidth="1"/>
    <col min="8454" max="8454" width="25.7109375" style="1" customWidth="1"/>
    <col min="8455" max="8455" width="23.7109375" style="1" customWidth="1"/>
    <col min="8456" max="8456" width="24.140625" style="1" customWidth="1"/>
    <col min="8457" max="8457" width="23.7109375" style="1" customWidth="1"/>
    <col min="8458" max="8458" width="24.140625" style="1" customWidth="1"/>
    <col min="8459" max="8459" width="23.42578125" style="1" customWidth="1"/>
    <col min="8460" max="8460" width="24.140625" style="1" bestFit="1" customWidth="1"/>
    <col min="8461" max="8463" width="22.5703125" style="1" customWidth="1"/>
    <col min="8464" max="8464" width="22.5703125" style="1" bestFit="1" customWidth="1"/>
    <col min="8465" max="8465" width="23.7109375" style="1" bestFit="1" customWidth="1"/>
    <col min="8466" max="8466" width="9.140625" style="1"/>
    <col min="8467" max="8467" width="96.7109375" style="1" bestFit="1" customWidth="1"/>
    <col min="8468" max="8468" width="9.140625" style="1"/>
    <col min="8469" max="8476" width="8.5703125" style="1" bestFit="1" customWidth="1"/>
    <col min="8477" max="8478" width="10" style="1" bestFit="1" customWidth="1"/>
    <col min="8479" max="8707" width="9.140625" style="1"/>
    <col min="8708" max="8708" width="89.85546875" style="1" customWidth="1"/>
    <col min="8709" max="8709" width="27.7109375" style="1" customWidth="1"/>
    <col min="8710" max="8710" width="25.7109375" style="1" customWidth="1"/>
    <col min="8711" max="8711" width="23.7109375" style="1" customWidth="1"/>
    <col min="8712" max="8712" width="24.140625" style="1" customWidth="1"/>
    <col min="8713" max="8713" width="23.7109375" style="1" customWidth="1"/>
    <col min="8714" max="8714" width="24.140625" style="1" customWidth="1"/>
    <col min="8715" max="8715" width="23.42578125" style="1" customWidth="1"/>
    <col min="8716" max="8716" width="24.140625" style="1" bestFit="1" customWidth="1"/>
    <col min="8717" max="8719" width="22.5703125" style="1" customWidth="1"/>
    <col min="8720" max="8720" width="22.5703125" style="1" bestFit="1" customWidth="1"/>
    <col min="8721" max="8721" width="23.7109375" style="1" bestFit="1" customWidth="1"/>
    <col min="8722" max="8722" width="9.140625" style="1"/>
    <col min="8723" max="8723" width="96.7109375" style="1" bestFit="1" customWidth="1"/>
    <col min="8724" max="8724" width="9.140625" style="1"/>
    <col min="8725" max="8732" width="8.5703125" style="1" bestFit="1" customWidth="1"/>
    <col min="8733" max="8734" width="10" style="1" bestFit="1" customWidth="1"/>
    <col min="8735" max="8963" width="9.140625" style="1"/>
    <col min="8964" max="8964" width="89.85546875" style="1" customWidth="1"/>
    <col min="8965" max="8965" width="27.7109375" style="1" customWidth="1"/>
    <col min="8966" max="8966" width="25.7109375" style="1" customWidth="1"/>
    <col min="8967" max="8967" width="23.7109375" style="1" customWidth="1"/>
    <col min="8968" max="8968" width="24.140625" style="1" customWidth="1"/>
    <col min="8969" max="8969" width="23.7109375" style="1" customWidth="1"/>
    <col min="8970" max="8970" width="24.140625" style="1" customWidth="1"/>
    <col min="8971" max="8971" width="23.42578125" style="1" customWidth="1"/>
    <col min="8972" max="8972" width="24.140625" style="1" bestFit="1" customWidth="1"/>
    <col min="8973" max="8975" width="22.5703125" style="1" customWidth="1"/>
    <col min="8976" max="8976" width="22.5703125" style="1" bestFit="1" customWidth="1"/>
    <col min="8977" max="8977" width="23.7109375" style="1" bestFit="1" customWidth="1"/>
    <col min="8978" max="8978" width="9.140625" style="1"/>
    <col min="8979" max="8979" width="96.7109375" style="1" bestFit="1" customWidth="1"/>
    <col min="8980" max="8980" width="9.140625" style="1"/>
    <col min="8981" max="8988" width="8.5703125" style="1" bestFit="1" customWidth="1"/>
    <col min="8989" max="8990" width="10" style="1" bestFit="1" customWidth="1"/>
    <col min="8991" max="9219" width="9.140625" style="1"/>
    <col min="9220" max="9220" width="89.85546875" style="1" customWidth="1"/>
    <col min="9221" max="9221" width="27.7109375" style="1" customWidth="1"/>
    <col min="9222" max="9222" width="25.7109375" style="1" customWidth="1"/>
    <col min="9223" max="9223" width="23.7109375" style="1" customWidth="1"/>
    <col min="9224" max="9224" width="24.140625" style="1" customWidth="1"/>
    <col min="9225" max="9225" width="23.7109375" style="1" customWidth="1"/>
    <col min="9226" max="9226" width="24.140625" style="1" customWidth="1"/>
    <col min="9227" max="9227" width="23.42578125" style="1" customWidth="1"/>
    <col min="9228" max="9228" width="24.140625" style="1" bestFit="1" customWidth="1"/>
    <col min="9229" max="9231" width="22.5703125" style="1" customWidth="1"/>
    <col min="9232" max="9232" width="22.5703125" style="1" bestFit="1" customWidth="1"/>
    <col min="9233" max="9233" width="23.7109375" style="1" bestFit="1" customWidth="1"/>
    <col min="9234" max="9234" width="9.140625" style="1"/>
    <col min="9235" max="9235" width="96.7109375" style="1" bestFit="1" customWidth="1"/>
    <col min="9236" max="9236" width="9.140625" style="1"/>
    <col min="9237" max="9244" width="8.5703125" style="1" bestFit="1" customWidth="1"/>
    <col min="9245" max="9246" width="10" style="1" bestFit="1" customWidth="1"/>
    <col min="9247" max="9475" width="9.140625" style="1"/>
    <col min="9476" max="9476" width="89.85546875" style="1" customWidth="1"/>
    <col min="9477" max="9477" width="27.7109375" style="1" customWidth="1"/>
    <col min="9478" max="9478" width="25.7109375" style="1" customWidth="1"/>
    <col min="9479" max="9479" width="23.7109375" style="1" customWidth="1"/>
    <col min="9480" max="9480" width="24.140625" style="1" customWidth="1"/>
    <col min="9481" max="9481" width="23.7109375" style="1" customWidth="1"/>
    <col min="9482" max="9482" width="24.140625" style="1" customWidth="1"/>
    <col min="9483" max="9483" width="23.42578125" style="1" customWidth="1"/>
    <col min="9484" max="9484" width="24.140625" style="1" bestFit="1" customWidth="1"/>
    <col min="9485" max="9487" width="22.5703125" style="1" customWidth="1"/>
    <col min="9488" max="9488" width="22.5703125" style="1" bestFit="1" customWidth="1"/>
    <col min="9489" max="9489" width="23.7109375" style="1" bestFit="1" customWidth="1"/>
    <col min="9490" max="9490" width="9.140625" style="1"/>
    <col min="9491" max="9491" width="96.7109375" style="1" bestFit="1" customWidth="1"/>
    <col min="9492" max="9492" width="9.140625" style="1"/>
    <col min="9493" max="9500" width="8.5703125" style="1" bestFit="1" customWidth="1"/>
    <col min="9501" max="9502" width="10" style="1" bestFit="1" customWidth="1"/>
    <col min="9503" max="9731" width="9.140625" style="1"/>
    <col min="9732" max="9732" width="89.85546875" style="1" customWidth="1"/>
    <col min="9733" max="9733" width="27.7109375" style="1" customWidth="1"/>
    <col min="9734" max="9734" width="25.7109375" style="1" customWidth="1"/>
    <col min="9735" max="9735" width="23.7109375" style="1" customWidth="1"/>
    <col min="9736" max="9736" width="24.140625" style="1" customWidth="1"/>
    <col min="9737" max="9737" width="23.7109375" style="1" customWidth="1"/>
    <col min="9738" max="9738" width="24.140625" style="1" customWidth="1"/>
    <col min="9739" max="9739" width="23.42578125" style="1" customWidth="1"/>
    <col min="9740" max="9740" width="24.140625" style="1" bestFit="1" customWidth="1"/>
    <col min="9741" max="9743" width="22.5703125" style="1" customWidth="1"/>
    <col min="9744" max="9744" width="22.5703125" style="1" bestFit="1" customWidth="1"/>
    <col min="9745" max="9745" width="23.7109375" style="1" bestFit="1" customWidth="1"/>
    <col min="9746" max="9746" width="9.140625" style="1"/>
    <col min="9747" max="9747" width="96.7109375" style="1" bestFit="1" customWidth="1"/>
    <col min="9748" max="9748" width="9.140625" style="1"/>
    <col min="9749" max="9756" width="8.5703125" style="1" bestFit="1" customWidth="1"/>
    <col min="9757" max="9758" width="10" style="1" bestFit="1" customWidth="1"/>
    <col min="9759" max="9987" width="9.140625" style="1"/>
    <col min="9988" max="9988" width="89.85546875" style="1" customWidth="1"/>
    <col min="9989" max="9989" width="27.7109375" style="1" customWidth="1"/>
    <col min="9990" max="9990" width="25.7109375" style="1" customWidth="1"/>
    <col min="9991" max="9991" width="23.7109375" style="1" customWidth="1"/>
    <col min="9992" max="9992" width="24.140625" style="1" customWidth="1"/>
    <col min="9993" max="9993" width="23.7109375" style="1" customWidth="1"/>
    <col min="9994" max="9994" width="24.140625" style="1" customWidth="1"/>
    <col min="9995" max="9995" width="23.42578125" style="1" customWidth="1"/>
    <col min="9996" max="9996" width="24.140625" style="1" bestFit="1" customWidth="1"/>
    <col min="9997" max="9999" width="22.5703125" style="1" customWidth="1"/>
    <col min="10000" max="10000" width="22.5703125" style="1" bestFit="1" customWidth="1"/>
    <col min="10001" max="10001" width="23.7109375" style="1" bestFit="1" customWidth="1"/>
    <col min="10002" max="10002" width="9.140625" style="1"/>
    <col min="10003" max="10003" width="96.7109375" style="1" bestFit="1" customWidth="1"/>
    <col min="10004" max="10004" width="9.140625" style="1"/>
    <col min="10005" max="10012" width="8.5703125" style="1" bestFit="1" customWidth="1"/>
    <col min="10013" max="10014" width="10" style="1" bestFit="1" customWidth="1"/>
    <col min="10015" max="10243" width="9.140625" style="1"/>
    <col min="10244" max="10244" width="89.85546875" style="1" customWidth="1"/>
    <col min="10245" max="10245" width="27.7109375" style="1" customWidth="1"/>
    <col min="10246" max="10246" width="25.7109375" style="1" customWidth="1"/>
    <col min="10247" max="10247" width="23.7109375" style="1" customWidth="1"/>
    <col min="10248" max="10248" width="24.140625" style="1" customWidth="1"/>
    <col min="10249" max="10249" width="23.7109375" style="1" customWidth="1"/>
    <col min="10250" max="10250" width="24.140625" style="1" customWidth="1"/>
    <col min="10251" max="10251" width="23.42578125" style="1" customWidth="1"/>
    <col min="10252" max="10252" width="24.140625" style="1" bestFit="1" customWidth="1"/>
    <col min="10253" max="10255" width="22.5703125" style="1" customWidth="1"/>
    <col min="10256" max="10256" width="22.5703125" style="1" bestFit="1" customWidth="1"/>
    <col min="10257" max="10257" width="23.7109375" style="1" bestFit="1" customWidth="1"/>
    <col min="10258" max="10258" width="9.140625" style="1"/>
    <col min="10259" max="10259" width="96.7109375" style="1" bestFit="1" customWidth="1"/>
    <col min="10260" max="10260" width="9.140625" style="1"/>
    <col min="10261" max="10268" width="8.5703125" style="1" bestFit="1" customWidth="1"/>
    <col min="10269" max="10270" width="10" style="1" bestFit="1" customWidth="1"/>
    <col min="10271" max="10499" width="9.140625" style="1"/>
    <col min="10500" max="10500" width="89.85546875" style="1" customWidth="1"/>
    <col min="10501" max="10501" width="27.7109375" style="1" customWidth="1"/>
    <col min="10502" max="10502" width="25.7109375" style="1" customWidth="1"/>
    <col min="10503" max="10503" width="23.7109375" style="1" customWidth="1"/>
    <col min="10504" max="10504" width="24.140625" style="1" customWidth="1"/>
    <col min="10505" max="10505" width="23.7109375" style="1" customWidth="1"/>
    <col min="10506" max="10506" width="24.140625" style="1" customWidth="1"/>
    <col min="10507" max="10507" width="23.42578125" style="1" customWidth="1"/>
    <col min="10508" max="10508" width="24.140625" style="1" bestFit="1" customWidth="1"/>
    <col min="10509" max="10511" width="22.5703125" style="1" customWidth="1"/>
    <col min="10512" max="10512" width="22.5703125" style="1" bestFit="1" customWidth="1"/>
    <col min="10513" max="10513" width="23.7109375" style="1" bestFit="1" customWidth="1"/>
    <col min="10514" max="10514" width="9.140625" style="1"/>
    <col min="10515" max="10515" width="96.7109375" style="1" bestFit="1" customWidth="1"/>
    <col min="10516" max="10516" width="9.140625" style="1"/>
    <col min="10517" max="10524" width="8.5703125" style="1" bestFit="1" customWidth="1"/>
    <col min="10525" max="10526" width="10" style="1" bestFit="1" customWidth="1"/>
    <col min="10527" max="10755" width="9.140625" style="1"/>
    <col min="10756" max="10756" width="89.85546875" style="1" customWidth="1"/>
    <col min="10757" max="10757" width="27.7109375" style="1" customWidth="1"/>
    <col min="10758" max="10758" width="25.7109375" style="1" customWidth="1"/>
    <col min="10759" max="10759" width="23.7109375" style="1" customWidth="1"/>
    <col min="10760" max="10760" width="24.140625" style="1" customWidth="1"/>
    <col min="10761" max="10761" width="23.7109375" style="1" customWidth="1"/>
    <col min="10762" max="10762" width="24.140625" style="1" customWidth="1"/>
    <col min="10763" max="10763" width="23.42578125" style="1" customWidth="1"/>
    <col min="10764" max="10764" width="24.140625" style="1" bestFit="1" customWidth="1"/>
    <col min="10765" max="10767" width="22.5703125" style="1" customWidth="1"/>
    <col min="10768" max="10768" width="22.5703125" style="1" bestFit="1" customWidth="1"/>
    <col min="10769" max="10769" width="23.7109375" style="1" bestFit="1" customWidth="1"/>
    <col min="10770" max="10770" width="9.140625" style="1"/>
    <col min="10771" max="10771" width="96.7109375" style="1" bestFit="1" customWidth="1"/>
    <col min="10772" max="10772" width="9.140625" style="1"/>
    <col min="10773" max="10780" width="8.5703125" style="1" bestFit="1" customWidth="1"/>
    <col min="10781" max="10782" width="10" style="1" bestFit="1" customWidth="1"/>
    <col min="10783" max="11011" width="9.140625" style="1"/>
    <col min="11012" max="11012" width="89.85546875" style="1" customWidth="1"/>
    <col min="11013" max="11013" width="27.7109375" style="1" customWidth="1"/>
    <col min="11014" max="11014" width="25.7109375" style="1" customWidth="1"/>
    <col min="11015" max="11015" width="23.7109375" style="1" customWidth="1"/>
    <col min="11016" max="11016" width="24.140625" style="1" customWidth="1"/>
    <col min="11017" max="11017" width="23.7109375" style="1" customWidth="1"/>
    <col min="11018" max="11018" width="24.140625" style="1" customWidth="1"/>
    <col min="11019" max="11019" width="23.42578125" style="1" customWidth="1"/>
    <col min="11020" max="11020" width="24.140625" style="1" bestFit="1" customWidth="1"/>
    <col min="11021" max="11023" width="22.5703125" style="1" customWidth="1"/>
    <col min="11024" max="11024" width="22.5703125" style="1" bestFit="1" customWidth="1"/>
    <col min="11025" max="11025" width="23.7109375" style="1" bestFit="1" customWidth="1"/>
    <col min="11026" max="11026" width="9.140625" style="1"/>
    <col min="11027" max="11027" width="96.7109375" style="1" bestFit="1" customWidth="1"/>
    <col min="11028" max="11028" width="9.140625" style="1"/>
    <col min="11029" max="11036" width="8.5703125" style="1" bestFit="1" customWidth="1"/>
    <col min="11037" max="11038" width="10" style="1" bestFit="1" customWidth="1"/>
    <col min="11039" max="11267" width="9.140625" style="1"/>
    <col min="11268" max="11268" width="89.85546875" style="1" customWidth="1"/>
    <col min="11269" max="11269" width="27.7109375" style="1" customWidth="1"/>
    <col min="11270" max="11270" width="25.7109375" style="1" customWidth="1"/>
    <col min="11271" max="11271" width="23.7109375" style="1" customWidth="1"/>
    <col min="11272" max="11272" width="24.140625" style="1" customWidth="1"/>
    <col min="11273" max="11273" width="23.7109375" style="1" customWidth="1"/>
    <col min="11274" max="11274" width="24.140625" style="1" customWidth="1"/>
    <col min="11275" max="11275" width="23.42578125" style="1" customWidth="1"/>
    <col min="11276" max="11276" width="24.140625" style="1" bestFit="1" customWidth="1"/>
    <col min="11277" max="11279" width="22.5703125" style="1" customWidth="1"/>
    <col min="11280" max="11280" width="22.5703125" style="1" bestFit="1" customWidth="1"/>
    <col min="11281" max="11281" width="23.7109375" style="1" bestFit="1" customWidth="1"/>
    <col min="11282" max="11282" width="9.140625" style="1"/>
    <col min="11283" max="11283" width="96.7109375" style="1" bestFit="1" customWidth="1"/>
    <col min="11284" max="11284" width="9.140625" style="1"/>
    <col min="11285" max="11292" width="8.5703125" style="1" bestFit="1" customWidth="1"/>
    <col min="11293" max="11294" width="10" style="1" bestFit="1" customWidth="1"/>
    <col min="11295" max="11523" width="9.140625" style="1"/>
    <col min="11524" max="11524" width="89.85546875" style="1" customWidth="1"/>
    <col min="11525" max="11525" width="27.7109375" style="1" customWidth="1"/>
    <col min="11526" max="11526" width="25.7109375" style="1" customWidth="1"/>
    <col min="11527" max="11527" width="23.7109375" style="1" customWidth="1"/>
    <col min="11528" max="11528" width="24.140625" style="1" customWidth="1"/>
    <col min="11529" max="11529" width="23.7109375" style="1" customWidth="1"/>
    <col min="11530" max="11530" width="24.140625" style="1" customWidth="1"/>
    <col min="11531" max="11531" width="23.42578125" style="1" customWidth="1"/>
    <col min="11532" max="11532" width="24.140625" style="1" bestFit="1" customWidth="1"/>
    <col min="11533" max="11535" width="22.5703125" style="1" customWidth="1"/>
    <col min="11536" max="11536" width="22.5703125" style="1" bestFit="1" customWidth="1"/>
    <col min="11537" max="11537" width="23.7109375" style="1" bestFit="1" customWidth="1"/>
    <col min="11538" max="11538" width="9.140625" style="1"/>
    <col min="11539" max="11539" width="96.7109375" style="1" bestFit="1" customWidth="1"/>
    <col min="11540" max="11540" width="9.140625" style="1"/>
    <col min="11541" max="11548" width="8.5703125" style="1" bestFit="1" customWidth="1"/>
    <col min="11549" max="11550" width="10" style="1" bestFit="1" customWidth="1"/>
    <col min="11551" max="11779" width="9.140625" style="1"/>
    <col min="11780" max="11780" width="89.85546875" style="1" customWidth="1"/>
    <col min="11781" max="11781" width="27.7109375" style="1" customWidth="1"/>
    <col min="11782" max="11782" width="25.7109375" style="1" customWidth="1"/>
    <col min="11783" max="11783" width="23.7109375" style="1" customWidth="1"/>
    <col min="11784" max="11784" width="24.140625" style="1" customWidth="1"/>
    <col min="11785" max="11785" width="23.7109375" style="1" customWidth="1"/>
    <col min="11786" max="11786" width="24.140625" style="1" customWidth="1"/>
    <col min="11787" max="11787" width="23.42578125" style="1" customWidth="1"/>
    <col min="11788" max="11788" width="24.140625" style="1" bestFit="1" customWidth="1"/>
    <col min="11789" max="11791" width="22.5703125" style="1" customWidth="1"/>
    <col min="11792" max="11792" width="22.5703125" style="1" bestFit="1" customWidth="1"/>
    <col min="11793" max="11793" width="23.7109375" style="1" bestFit="1" customWidth="1"/>
    <col min="11794" max="11794" width="9.140625" style="1"/>
    <col min="11795" max="11795" width="96.7109375" style="1" bestFit="1" customWidth="1"/>
    <col min="11796" max="11796" width="9.140625" style="1"/>
    <col min="11797" max="11804" width="8.5703125" style="1" bestFit="1" customWidth="1"/>
    <col min="11805" max="11806" width="10" style="1" bestFit="1" customWidth="1"/>
    <col min="11807" max="12035" width="9.140625" style="1"/>
    <col min="12036" max="12036" width="89.85546875" style="1" customWidth="1"/>
    <col min="12037" max="12037" width="27.7109375" style="1" customWidth="1"/>
    <col min="12038" max="12038" width="25.7109375" style="1" customWidth="1"/>
    <col min="12039" max="12039" width="23.7109375" style="1" customWidth="1"/>
    <col min="12040" max="12040" width="24.140625" style="1" customWidth="1"/>
    <col min="12041" max="12041" width="23.7109375" style="1" customWidth="1"/>
    <col min="12042" max="12042" width="24.140625" style="1" customWidth="1"/>
    <col min="12043" max="12043" width="23.42578125" style="1" customWidth="1"/>
    <col min="12044" max="12044" width="24.140625" style="1" bestFit="1" customWidth="1"/>
    <col min="12045" max="12047" width="22.5703125" style="1" customWidth="1"/>
    <col min="12048" max="12048" width="22.5703125" style="1" bestFit="1" customWidth="1"/>
    <col min="12049" max="12049" width="23.7109375" style="1" bestFit="1" customWidth="1"/>
    <col min="12050" max="12050" width="9.140625" style="1"/>
    <col min="12051" max="12051" width="96.7109375" style="1" bestFit="1" customWidth="1"/>
    <col min="12052" max="12052" width="9.140625" style="1"/>
    <col min="12053" max="12060" width="8.5703125" style="1" bestFit="1" customWidth="1"/>
    <col min="12061" max="12062" width="10" style="1" bestFit="1" customWidth="1"/>
    <col min="12063" max="12291" width="9.140625" style="1"/>
    <col min="12292" max="12292" width="89.85546875" style="1" customWidth="1"/>
    <col min="12293" max="12293" width="27.7109375" style="1" customWidth="1"/>
    <col min="12294" max="12294" width="25.7109375" style="1" customWidth="1"/>
    <col min="12295" max="12295" width="23.7109375" style="1" customWidth="1"/>
    <col min="12296" max="12296" width="24.140625" style="1" customWidth="1"/>
    <col min="12297" max="12297" width="23.7109375" style="1" customWidth="1"/>
    <col min="12298" max="12298" width="24.140625" style="1" customWidth="1"/>
    <col min="12299" max="12299" width="23.42578125" style="1" customWidth="1"/>
    <col min="12300" max="12300" width="24.140625" style="1" bestFit="1" customWidth="1"/>
    <col min="12301" max="12303" width="22.5703125" style="1" customWidth="1"/>
    <col min="12304" max="12304" width="22.5703125" style="1" bestFit="1" customWidth="1"/>
    <col min="12305" max="12305" width="23.7109375" style="1" bestFit="1" customWidth="1"/>
    <col min="12306" max="12306" width="9.140625" style="1"/>
    <col min="12307" max="12307" width="96.7109375" style="1" bestFit="1" customWidth="1"/>
    <col min="12308" max="12308" width="9.140625" style="1"/>
    <col min="12309" max="12316" width="8.5703125" style="1" bestFit="1" customWidth="1"/>
    <col min="12317" max="12318" width="10" style="1" bestFit="1" customWidth="1"/>
    <col min="12319" max="12547" width="9.140625" style="1"/>
    <col min="12548" max="12548" width="89.85546875" style="1" customWidth="1"/>
    <col min="12549" max="12549" width="27.7109375" style="1" customWidth="1"/>
    <col min="12550" max="12550" width="25.7109375" style="1" customWidth="1"/>
    <col min="12551" max="12551" width="23.7109375" style="1" customWidth="1"/>
    <col min="12552" max="12552" width="24.140625" style="1" customWidth="1"/>
    <col min="12553" max="12553" width="23.7109375" style="1" customWidth="1"/>
    <col min="12554" max="12554" width="24.140625" style="1" customWidth="1"/>
    <col min="12555" max="12555" width="23.42578125" style="1" customWidth="1"/>
    <col min="12556" max="12556" width="24.140625" style="1" bestFit="1" customWidth="1"/>
    <col min="12557" max="12559" width="22.5703125" style="1" customWidth="1"/>
    <col min="12560" max="12560" width="22.5703125" style="1" bestFit="1" customWidth="1"/>
    <col min="12561" max="12561" width="23.7109375" style="1" bestFit="1" customWidth="1"/>
    <col min="12562" max="12562" width="9.140625" style="1"/>
    <col min="12563" max="12563" width="96.7109375" style="1" bestFit="1" customWidth="1"/>
    <col min="12564" max="12564" width="9.140625" style="1"/>
    <col min="12565" max="12572" width="8.5703125" style="1" bestFit="1" customWidth="1"/>
    <col min="12573" max="12574" width="10" style="1" bestFit="1" customWidth="1"/>
    <col min="12575" max="12803" width="9.140625" style="1"/>
    <col min="12804" max="12804" width="89.85546875" style="1" customWidth="1"/>
    <col min="12805" max="12805" width="27.7109375" style="1" customWidth="1"/>
    <col min="12806" max="12806" width="25.7109375" style="1" customWidth="1"/>
    <col min="12807" max="12807" width="23.7109375" style="1" customWidth="1"/>
    <col min="12808" max="12808" width="24.140625" style="1" customWidth="1"/>
    <col min="12809" max="12809" width="23.7109375" style="1" customWidth="1"/>
    <col min="12810" max="12810" width="24.140625" style="1" customWidth="1"/>
    <col min="12811" max="12811" width="23.42578125" style="1" customWidth="1"/>
    <col min="12812" max="12812" width="24.140625" style="1" bestFit="1" customWidth="1"/>
    <col min="12813" max="12815" width="22.5703125" style="1" customWidth="1"/>
    <col min="12816" max="12816" width="22.5703125" style="1" bestFit="1" customWidth="1"/>
    <col min="12817" max="12817" width="23.7109375" style="1" bestFit="1" customWidth="1"/>
    <col min="12818" max="12818" width="9.140625" style="1"/>
    <col min="12819" max="12819" width="96.7109375" style="1" bestFit="1" customWidth="1"/>
    <col min="12820" max="12820" width="9.140625" style="1"/>
    <col min="12821" max="12828" width="8.5703125" style="1" bestFit="1" customWidth="1"/>
    <col min="12829" max="12830" width="10" style="1" bestFit="1" customWidth="1"/>
    <col min="12831" max="13059" width="9.140625" style="1"/>
    <col min="13060" max="13060" width="89.85546875" style="1" customWidth="1"/>
    <col min="13061" max="13061" width="27.7109375" style="1" customWidth="1"/>
    <col min="13062" max="13062" width="25.7109375" style="1" customWidth="1"/>
    <col min="13063" max="13063" width="23.7109375" style="1" customWidth="1"/>
    <col min="13064" max="13064" width="24.140625" style="1" customWidth="1"/>
    <col min="13065" max="13065" width="23.7109375" style="1" customWidth="1"/>
    <col min="13066" max="13066" width="24.140625" style="1" customWidth="1"/>
    <col min="13067" max="13067" width="23.42578125" style="1" customWidth="1"/>
    <col min="13068" max="13068" width="24.140625" style="1" bestFit="1" customWidth="1"/>
    <col min="13069" max="13071" width="22.5703125" style="1" customWidth="1"/>
    <col min="13072" max="13072" width="22.5703125" style="1" bestFit="1" customWidth="1"/>
    <col min="13073" max="13073" width="23.7109375" style="1" bestFit="1" customWidth="1"/>
    <col min="13074" max="13074" width="9.140625" style="1"/>
    <col min="13075" max="13075" width="96.7109375" style="1" bestFit="1" customWidth="1"/>
    <col min="13076" max="13076" width="9.140625" style="1"/>
    <col min="13077" max="13084" width="8.5703125" style="1" bestFit="1" customWidth="1"/>
    <col min="13085" max="13086" width="10" style="1" bestFit="1" customWidth="1"/>
    <col min="13087" max="13315" width="9.140625" style="1"/>
    <col min="13316" max="13316" width="89.85546875" style="1" customWidth="1"/>
    <col min="13317" max="13317" width="27.7109375" style="1" customWidth="1"/>
    <col min="13318" max="13318" width="25.7109375" style="1" customWidth="1"/>
    <col min="13319" max="13319" width="23.7109375" style="1" customWidth="1"/>
    <col min="13320" max="13320" width="24.140625" style="1" customWidth="1"/>
    <col min="13321" max="13321" width="23.7109375" style="1" customWidth="1"/>
    <col min="13322" max="13322" width="24.140625" style="1" customWidth="1"/>
    <col min="13323" max="13323" width="23.42578125" style="1" customWidth="1"/>
    <col min="13324" max="13324" width="24.140625" style="1" bestFit="1" customWidth="1"/>
    <col min="13325" max="13327" width="22.5703125" style="1" customWidth="1"/>
    <col min="13328" max="13328" width="22.5703125" style="1" bestFit="1" customWidth="1"/>
    <col min="13329" max="13329" width="23.7109375" style="1" bestFit="1" customWidth="1"/>
    <col min="13330" max="13330" width="9.140625" style="1"/>
    <col min="13331" max="13331" width="96.7109375" style="1" bestFit="1" customWidth="1"/>
    <col min="13332" max="13332" width="9.140625" style="1"/>
    <col min="13333" max="13340" width="8.5703125" style="1" bestFit="1" customWidth="1"/>
    <col min="13341" max="13342" width="10" style="1" bestFit="1" customWidth="1"/>
    <col min="13343" max="13571" width="9.140625" style="1"/>
    <col min="13572" max="13572" width="89.85546875" style="1" customWidth="1"/>
    <col min="13573" max="13573" width="27.7109375" style="1" customWidth="1"/>
    <col min="13574" max="13574" width="25.7109375" style="1" customWidth="1"/>
    <col min="13575" max="13575" width="23.7109375" style="1" customWidth="1"/>
    <col min="13576" max="13576" width="24.140625" style="1" customWidth="1"/>
    <col min="13577" max="13577" width="23.7109375" style="1" customWidth="1"/>
    <col min="13578" max="13578" width="24.140625" style="1" customWidth="1"/>
    <col min="13579" max="13579" width="23.42578125" style="1" customWidth="1"/>
    <col min="13580" max="13580" width="24.140625" style="1" bestFit="1" customWidth="1"/>
    <col min="13581" max="13583" width="22.5703125" style="1" customWidth="1"/>
    <col min="13584" max="13584" width="22.5703125" style="1" bestFit="1" customWidth="1"/>
    <col min="13585" max="13585" width="23.7109375" style="1" bestFit="1" customWidth="1"/>
    <col min="13586" max="13586" width="9.140625" style="1"/>
    <col min="13587" max="13587" width="96.7109375" style="1" bestFit="1" customWidth="1"/>
    <col min="13588" max="13588" width="9.140625" style="1"/>
    <col min="13589" max="13596" width="8.5703125" style="1" bestFit="1" customWidth="1"/>
    <col min="13597" max="13598" width="10" style="1" bestFit="1" customWidth="1"/>
    <col min="13599" max="13827" width="9.140625" style="1"/>
    <col min="13828" max="13828" width="89.85546875" style="1" customWidth="1"/>
    <col min="13829" max="13829" width="27.7109375" style="1" customWidth="1"/>
    <col min="13830" max="13830" width="25.7109375" style="1" customWidth="1"/>
    <col min="13831" max="13831" width="23.7109375" style="1" customWidth="1"/>
    <col min="13832" max="13832" width="24.140625" style="1" customWidth="1"/>
    <col min="13833" max="13833" width="23.7109375" style="1" customWidth="1"/>
    <col min="13834" max="13834" width="24.140625" style="1" customWidth="1"/>
    <col min="13835" max="13835" width="23.42578125" style="1" customWidth="1"/>
    <col min="13836" max="13836" width="24.140625" style="1" bestFit="1" customWidth="1"/>
    <col min="13837" max="13839" width="22.5703125" style="1" customWidth="1"/>
    <col min="13840" max="13840" width="22.5703125" style="1" bestFit="1" customWidth="1"/>
    <col min="13841" max="13841" width="23.7109375" style="1" bestFit="1" customWidth="1"/>
    <col min="13842" max="13842" width="9.140625" style="1"/>
    <col min="13843" max="13843" width="96.7109375" style="1" bestFit="1" customWidth="1"/>
    <col min="13844" max="13844" width="9.140625" style="1"/>
    <col min="13845" max="13852" width="8.5703125" style="1" bestFit="1" customWidth="1"/>
    <col min="13853" max="13854" width="10" style="1" bestFit="1" customWidth="1"/>
    <col min="13855" max="14083" width="9.140625" style="1"/>
    <col min="14084" max="14084" width="89.85546875" style="1" customWidth="1"/>
    <col min="14085" max="14085" width="27.7109375" style="1" customWidth="1"/>
    <col min="14086" max="14086" width="25.7109375" style="1" customWidth="1"/>
    <col min="14087" max="14087" width="23.7109375" style="1" customWidth="1"/>
    <col min="14088" max="14088" width="24.140625" style="1" customWidth="1"/>
    <col min="14089" max="14089" width="23.7109375" style="1" customWidth="1"/>
    <col min="14090" max="14090" width="24.140625" style="1" customWidth="1"/>
    <col min="14091" max="14091" width="23.42578125" style="1" customWidth="1"/>
    <col min="14092" max="14092" width="24.140625" style="1" bestFit="1" customWidth="1"/>
    <col min="14093" max="14095" width="22.5703125" style="1" customWidth="1"/>
    <col min="14096" max="14096" width="22.5703125" style="1" bestFit="1" customWidth="1"/>
    <col min="14097" max="14097" width="23.7109375" style="1" bestFit="1" customWidth="1"/>
    <col min="14098" max="14098" width="9.140625" style="1"/>
    <col min="14099" max="14099" width="96.7109375" style="1" bestFit="1" customWidth="1"/>
    <col min="14100" max="14100" width="9.140625" style="1"/>
    <col min="14101" max="14108" width="8.5703125" style="1" bestFit="1" customWidth="1"/>
    <col min="14109" max="14110" width="10" style="1" bestFit="1" customWidth="1"/>
    <col min="14111" max="14339" width="9.140625" style="1"/>
    <col min="14340" max="14340" width="89.85546875" style="1" customWidth="1"/>
    <col min="14341" max="14341" width="27.7109375" style="1" customWidth="1"/>
    <col min="14342" max="14342" width="25.7109375" style="1" customWidth="1"/>
    <col min="14343" max="14343" width="23.7109375" style="1" customWidth="1"/>
    <col min="14344" max="14344" width="24.140625" style="1" customWidth="1"/>
    <col min="14345" max="14345" width="23.7109375" style="1" customWidth="1"/>
    <col min="14346" max="14346" width="24.140625" style="1" customWidth="1"/>
    <col min="14347" max="14347" width="23.42578125" style="1" customWidth="1"/>
    <col min="14348" max="14348" width="24.140625" style="1" bestFit="1" customWidth="1"/>
    <col min="14349" max="14351" width="22.5703125" style="1" customWidth="1"/>
    <col min="14352" max="14352" width="22.5703125" style="1" bestFit="1" customWidth="1"/>
    <col min="14353" max="14353" width="23.7109375" style="1" bestFit="1" customWidth="1"/>
    <col min="14354" max="14354" width="9.140625" style="1"/>
    <col min="14355" max="14355" width="96.7109375" style="1" bestFit="1" customWidth="1"/>
    <col min="14356" max="14356" width="9.140625" style="1"/>
    <col min="14357" max="14364" width="8.5703125" style="1" bestFit="1" customWidth="1"/>
    <col min="14365" max="14366" width="10" style="1" bestFit="1" customWidth="1"/>
    <col min="14367" max="14595" width="9.140625" style="1"/>
    <col min="14596" max="14596" width="89.85546875" style="1" customWidth="1"/>
    <col min="14597" max="14597" width="27.7109375" style="1" customWidth="1"/>
    <col min="14598" max="14598" width="25.7109375" style="1" customWidth="1"/>
    <col min="14599" max="14599" width="23.7109375" style="1" customWidth="1"/>
    <col min="14600" max="14600" width="24.140625" style="1" customWidth="1"/>
    <col min="14601" max="14601" width="23.7109375" style="1" customWidth="1"/>
    <col min="14602" max="14602" width="24.140625" style="1" customWidth="1"/>
    <col min="14603" max="14603" width="23.42578125" style="1" customWidth="1"/>
    <col min="14604" max="14604" width="24.140625" style="1" bestFit="1" customWidth="1"/>
    <col min="14605" max="14607" width="22.5703125" style="1" customWidth="1"/>
    <col min="14608" max="14608" width="22.5703125" style="1" bestFit="1" customWidth="1"/>
    <col min="14609" max="14609" width="23.7109375" style="1" bestFit="1" customWidth="1"/>
    <col min="14610" max="14610" width="9.140625" style="1"/>
    <col min="14611" max="14611" width="96.7109375" style="1" bestFit="1" customWidth="1"/>
    <col min="14612" max="14612" width="9.140625" style="1"/>
    <col min="14613" max="14620" width="8.5703125" style="1" bestFit="1" customWidth="1"/>
    <col min="14621" max="14622" width="10" style="1" bestFit="1" customWidth="1"/>
    <col min="14623" max="14851" width="9.140625" style="1"/>
    <col min="14852" max="14852" width="89.85546875" style="1" customWidth="1"/>
    <col min="14853" max="14853" width="27.7109375" style="1" customWidth="1"/>
    <col min="14854" max="14854" width="25.7109375" style="1" customWidth="1"/>
    <col min="14855" max="14855" width="23.7109375" style="1" customWidth="1"/>
    <col min="14856" max="14856" width="24.140625" style="1" customWidth="1"/>
    <col min="14857" max="14857" width="23.7109375" style="1" customWidth="1"/>
    <col min="14858" max="14858" width="24.140625" style="1" customWidth="1"/>
    <col min="14859" max="14859" width="23.42578125" style="1" customWidth="1"/>
    <col min="14860" max="14860" width="24.140625" style="1" bestFit="1" customWidth="1"/>
    <col min="14861" max="14863" width="22.5703125" style="1" customWidth="1"/>
    <col min="14864" max="14864" width="22.5703125" style="1" bestFit="1" customWidth="1"/>
    <col min="14865" max="14865" width="23.7109375" style="1" bestFit="1" customWidth="1"/>
    <col min="14866" max="14866" width="9.140625" style="1"/>
    <col min="14867" max="14867" width="96.7109375" style="1" bestFit="1" customWidth="1"/>
    <col min="14868" max="14868" width="9.140625" style="1"/>
    <col min="14869" max="14876" width="8.5703125" style="1" bestFit="1" customWidth="1"/>
    <col min="14877" max="14878" width="10" style="1" bestFit="1" customWidth="1"/>
    <col min="14879" max="15107" width="9.140625" style="1"/>
    <col min="15108" max="15108" width="89.85546875" style="1" customWidth="1"/>
    <col min="15109" max="15109" width="27.7109375" style="1" customWidth="1"/>
    <col min="15110" max="15110" width="25.7109375" style="1" customWidth="1"/>
    <col min="15111" max="15111" width="23.7109375" style="1" customWidth="1"/>
    <col min="15112" max="15112" width="24.140625" style="1" customWidth="1"/>
    <col min="15113" max="15113" width="23.7109375" style="1" customWidth="1"/>
    <col min="15114" max="15114" width="24.140625" style="1" customWidth="1"/>
    <col min="15115" max="15115" width="23.42578125" style="1" customWidth="1"/>
    <col min="15116" max="15116" width="24.140625" style="1" bestFit="1" customWidth="1"/>
    <col min="15117" max="15119" width="22.5703125" style="1" customWidth="1"/>
    <col min="15120" max="15120" width="22.5703125" style="1" bestFit="1" customWidth="1"/>
    <col min="15121" max="15121" width="23.7109375" style="1" bestFit="1" customWidth="1"/>
    <col min="15122" max="15122" width="9.140625" style="1"/>
    <col min="15123" max="15123" width="96.7109375" style="1" bestFit="1" customWidth="1"/>
    <col min="15124" max="15124" width="9.140625" style="1"/>
    <col min="15125" max="15132" width="8.5703125" style="1" bestFit="1" customWidth="1"/>
    <col min="15133" max="15134" width="10" style="1" bestFit="1" customWidth="1"/>
    <col min="15135" max="15363" width="9.140625" style="1"/>
    <col min="15364" max="15364" width="89.85546875" style="1" customWidth="1"/>
    <col min="15365" max="15365" width="27.7109375" style="1" customWidth="1"/>
    <col min="15366" max="15366" width="25.7109375" style="1" customWidth="1"/>
    <col min="15367" max="15367" width="23.7109375" style="1" customWidth="1"/>
    <col min="15368" max="15368" width="24.140625" style="1" customWidth="1"/>
    <col min="15369" max="15369" width="23.7109375" style="1" customWidth="1"/>
    <col min="15370" max="15370" width="24.140625" style="1" customWidth="1"/>
    <col min="15371" max="15371" width="23.42578125" style="1" customWidth="1"/>
    <col min="15372" max="15372" width="24.140625" style="1" bestFit="1" customWidth="1"/>
    <col min="15373" max="15375" width="22.5703125" style="1" customWidth="1"/>
    <col min="15376" max="15376" width="22.5703125" style="1" bestFit="1" customWidth="1"/>
    <col min="15377" max="15377" width="23.7109375" style="1" bestFit="1" customWidth="1"/>
    <col min="15378" max="15378" width="9.140625" style="1"/>
    <col min="15379" max="15379" width="96.7109375" style="1" bestFit="1" customWidth="1"/>
    <col min="15380" max="15380" width="9.140625" style="1"/>
    <col min="15381" max="15388" width="8.5703125" style="1" bestFit="1" customWidth="1"/>
    <col min="15389" max="15390" width="10" style="1" bestFit="1" customWidth="1"/>
    <col min="15391" max="15619" width="9.140625" style="1"/>
    <col min="15620" max="15620" width="89.85546875" style="1" customWidth="1"/>
    <col min="15621" max="15621" width="27.7109375" style="1" customWidth="1"/>
    <col min="15622" max="15622" width="25.7109375" style="1" customWidth="1"/>
    <col min="15623" max="15623" width="23.7109375" style="1" customWidth="1"/>
    <col min="15624" max="15624" width="24.140625" style="1" customWidth="1"/>
    <col min="15625" max="15625" width="23.7109375" style="1" customWidth="1"/>
    <col min="15626" max="15626" width="24.140625" style="1" customWidth="1"/>
    <col min="15627" max="15627" width="23.42578125" style="1" customWidth="1"/>
    <col min="15628" max="15628" width="24.140625" style="1" bestFit="1" customWidth="1"/>
    <col min="15629" max="15631" width="22.5703125" style="1" customWidth="1"/>
    <col min="15632" max="15632" width="22.5703125" style="1" bestFit="1" customWidth="1"/>
    <col min="15633" max="15633" width="23.7109375" style="1" bestFit="1" customWidth="1"/>
    <col min="15634" max="15634" width="9.140625" style="1"/>
    <col min="15635" max="15635" width="96.7109375" style="1" bestFit="1" customWidth="1"/>
    <col min="15636" max="15636" width="9.140625" style="1"/>
    <col min="15637" max="15644" width="8.5703125" style="1" bestFit="1" customWidth="1"/>
    <col min="15645" max="15646" width="10" style="1" bestFit="1" customWidth="1"/>
    <col min="15647" max="15875" width="9.140625" style="1"/>
    <col min="15876" max="15876" width="89.85546875" style="1" customWidth="1"/>
    <col min="15877" max="15877" width="27.7109375" style="1" customWidth="1"/>
    <col min="15878" max="15878" width="25.7109375" style="1" customWidth="1"/>
    <col min="15879" max="15879" width="23.7109375" style="1" customWidth="1"/>
    <col min="15880" max="15880" width="24.140625" style="1" customWidth="1"/>
    <col min="15881" max="15881" width="23.7109375" style="1" customWidth="1"/>
    <col min="15882" max="15882" width="24.140625" style="1" customWidth="1"/>
    <col min="15883" max="15883" width="23.42578125" style="1" customWidth="1"/>
    <col min="15884" max="15884" width="24.140625" style="1" bestFit="1" customWidth="1"/>
    <col min="15885" max="15887" width="22.5703125" style="1" customWidth="1"/>
    <col min="15888" max="15888" width="22.5703125" style="1" bestFit="1" customWidth="1"/>
    <col min="15889" max="15889" width="23.7109375" style="1" bestFit="1" customWidth="1"/>
    <col min="15890" max="15890" width="9.140625" style="1"/>
    <col min="15891" max="15891" width="96.7109375" style="1" bestFit="1" customWidth="1"/>
    <col min="15892" max="15892" width="9.140625" style="1"/>
    <col min="15893" max="15900" width="8.5703125" style="1" bestFit="1" customWidth="1"/>
    <col min="15901" max="15902" width="10" style="1" bestFit="1" customWidth="1"/>
    <col min="15903" max="16131" width="9.140625" style="1"/>
    <col min="16132" max="16132" width="89.85546875" style="1" customWidth="1"/>
    <col min="16133" max="16133" width="27.7109375" style="1" customWidth="1"/>
    <col min="16134" max="16134" width="25.7109375" style="1" customWidth="1"/>
    <col min="16135" max="16135" width="23.7109375" style="1" customWidth="1"/>
    <col min="16136" max="16136" width="24.140625" style="1" customWidth="1"/>
    <col min="16137" max="16137" width="23.7109375" style="1" customWidth="1"/>
    <col min="16138" max="16138" width="24.140625" style="1" customWidth="1"/>
    <col min="16139" max="16139" width="23.42578125" style="1" customWidth="1"/>
    <col min="16140" max="16140" width="24.140625" style="1" bestFit="1" customWidth="1"/>
    <col min="16141" max="16143" width="22.5703125" style="1" customWidth="1"/>
    <col min="16144" max="16144" width="22.5703125" style="1" bestFit="1" customWidth="1"/>
    <col min="16145" max="16145" width="23.7109375" style="1" bestFit="1" customWidth="1"/>
    <col min="16146" max="16146" width="9.140625" style="1"/>
    <col min="16147" max="16147" width="96.7109375" style="1" bestFit="1" customWidth="1"/>
    <col min="16148" max="16148" width="9.140625" style="1"/>
    <col min="16149" max="16156" width="8.5703125" style="1" bestFit="1" customWidth="1"/>
    <col min="16157" max="16158" width="10" style="1" bestFit="1" customWidth="1"/>
    <col min="16159" max="16384" width="9.140625" style="1"/>
  </cols>
  <sheetData>
    <row r="1" spans="1:30" ht="21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S1" s="2" t="s">
        <v>1</v>
      </c>
    </row>
    <row r="2" spans="1:30" x14ac:dyDescent="0.35">
      <c r="A2" s="68" t="s">
        <v>87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S2" s="2" t="s">
        <v>2</v>
      </c>
    </row>
    <row r="3" spans="1:30" x14ac:dyDescent="0.35">
      <c r="A3" s="67" t="s">
        <v>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S3" s="2" t="s">
        <v>4</v>
      </c>
    </row>
    <row r="4" spans="1:30" ht="21.75" thickBo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65"/>
      <c r="L4" s="31"/>
      <c r="M4" s="31"/>
      <c r="N4" s="31"/>
      <c r="O4" s="31"/>
      <c r="P4" s="31"/>
      <c r="Q4" s="31"/>
      <c r="S4" s="2"/>
    </row>
    <row r="5" spans="1:30" ht="21.75" customHeight="1" thickBot="1" x14ac:dyDescent="0.4">
      <c r="A5" s="31"/>
      <c r="B5" s="31"/>
      <c r="C5" s="13"/>
      <c r="D5" s="70" t="s">
        <v>99</v>
      </c>
      <c r="E5" s="71"/>
      <c r="F5" s="71"/>
      <c r="G5" s="71"/>
      <c r="H5" s="71"/>
      <c r="I5" s="71"/>
      <c r="J5" s="71"/>
      <c r="K5" s="72"/>
      <c r="L5" s="31"/>
      <c r="M5" s="31"/>
      <c r="N5" s="31"/>
      <c r="O5" s="31"/>
      <c r="P5" s="31"/>
      <c r="Q5" s="31"/>
      <c r="S5" s="2" t="s">
        <v>5</v>
      </c>
    </row>
    <row r="6" spans="1:30" ht="42.75" thickBot="1" x14ac:dyDescent="0.4">
      <c r="A6" s="51" t="s">
        <v>6</v>
      </c>
      <c r="B6" s="39" t="s">
        <v>7</v>
      </c>
      <c r="C6" s="40" t="s">
        <v>8</v>
      </c>
      <c r="D6" s="39" t="s">
        <v>89</v>
      </c>
      <c r="E6" s="39" t="s">
        <v>90</v>
      </c>
      <c r="F6" s="39" t="s">
        <v>91</v>
      </c>
      <c r="G6" s="39" t="s">
        <v>92</v>
      </c>
      <c r="H6" s="39" t="s">
        <v>93</v>
      </c>
      <c r="I6" s="39" t="s">
        <v>100</v>
      </c>
      <c r="J6" s="39" t="s">
        <v>101</v>
      </c>
      <c r="K6" s="66" t="s">
        <v>104</v>
      </c>
      <c r="L6" s="41" t="s">
        <v>88</v>
      </c>
      <c r="M6" s="4" t="s">
        <v>94</v>
      </c>
      <c r="N6" s="4" t="s">
        <v>95</v>
      </c>
      <c r="O6" s="4" t="s">
        <v>96</v>
      </c>
      <c r="P6" s="4" t="s">
        <v>97</v>
      </c>
      <c r="Q6" s="4" t="s">
        <v>98</v>
      </c>
      <c r="AC6" s="5">
        <f>SUM(U7:AC7)</f>
        <v>11.029108875781253</v>
      </c>
      <c r="AD6" s="5">
        <f>+AC6+AD7</f>
        <v>13.989108875781252</v>
      </c>
    </row>
    <row r="7" spans="1:30" x14ac:dyDescent="0.35">
      <c r="A7" s="49" t="s">
        <v>9</v>
      </c>
      <c r="B7" s="26">
        <f t="shared" ref="B7:Q7" si="0">+B8+B16+B27+B37+B45+B52+B62</f>
        <v>179756600</v>
      </c>
      <c r="C7" s="32">
        <f>+C8+C16+C27+C37+C45+C52+C62</f>
        <v>-966466</v>
      </c>
      <c r="D7" s="26">
        <f t="shared" si="0"/>
        <v>7190719.1400000006</v>
      </c>
      <c r="E7" s="26">
        <f t="shared" ref="E7:L7" si="1">+E8+E16+E27+E37+E45+E52+E62</f>
        <v>8707304.2400000002</v>
      </c>
      <c r="F7" s="26">
        <f t="shared" si="1"/>
        <v>10118668.800000001</v>
      </c>
      <c r="G7" s="26">
        <f t="shared" si="1"/>
        <v>8891987.4699999988</v>
      </c>
      <c r="H7" s="36">
        <f t="shared" si="1"/>
        <v>14663808.100000001</v>
      </c>
      <c r="I7" s="36">
        <f t="shared" si="1"/>
        <v>9798934.8400000017</v>
      </c>
      <c r="J7" s="36">
        <f t="shared" si="1"/>
        <v>10790483.949999999</v>
      </c>
      <c r="K7" s="36">
        <f t="shared" si="1"/>
        <v>11060188.359999999</v>
      </c>
      <c r="L7" s="62">
        <f t="shared" si="1"/>
        <v>81222094.899999991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0</v>
      </c>
      <c r="U7" s="7">
        <v>1</v>
      </c>
      <c r="V7" s="7">
        <v>1.05</v>
      </c>
      <c r="W7" s="7">
        <f t="shared" ref="W7:AB7" si="2">+V7*1.05</f>
        <v>1.1025</v>
      </c>
      <c r="X7" s="7">
        <f t="shared" si="2"/>
        <v>1.1576250000000001</v>
      </c>
      <c r="Y7" s="7">
        <f t="shared" si="2"/>
        <v>1.2155062500000002</v>
      </c>
      <c r="Z7" s="7">
        <f t="shared" si="2"/>
        <v>1.2762815625000004</v>
      </c>
      <c r="AA7" s="7">
        <f t="shared" si="2"/>
        <v>1.3400956406250004</v>
      </c>
      <c r="AB7" s="7">
        <f t="shared" si="2"/>
        <v>1.4071004226562505</v>
      </c>
      <c r="AC7" s="7">
        <v>1.48</v>
      </c>
      <c r="AD7" s="7">
        <f>+AC7*2</f>
        <v>2.96</v>
      </c>
    </row>
    <row r="8" spans="1:30" x14ac:dyDescent="0.35">
      <c r="A8" s="49" t="s">
        <v>10</v>
      </c>
      <c r="B8" s="27">
        <f>SUM(B9:B15)</f>
        <v>131801321</v>
      </c>
      <c r="C8" s="33">
        <f>SUM(C9:C15)</f>
        <v>0</v>
      </c>
      <c r="D8" s="27">
        <f t="shared" ref="D8:R8" si="3">SUM(D9:D15)</f>
        <v>7190719.1400000006</v>
      </c>
      <c r="E8" s="27">
        <f t="shared" si="3"/>
        <v>7563636.4400000004</v>
      </c>
      <c r="F8" s="27">
        <f t="shared" si="3"/>
        <v>7318448.6699999999</v>
      </c>
      <c r="G8" s="27">
        <f t="shared" si="3"/>
        <v>7535315.0099999998</v>
      </c>
      <c r="H8" s="37">
        <f t="shared" si="3"/>
        <v>12619311.350000001</v>
      </c>
      <c r="I8" s="37">
        <f>SUM(I9:I15)</f>
        <v>8354374.3000000007</v>
      </c>
      <c r="J8" s="37">
        <f t="shared" ref="J8:K8" si="4">SUM(J9:J15)</f>
        <v>7720736.5899999999</v>
      </c>
      <c r="K8" s="37">
        <f t="shared" si="4"/>
        <v>8207587.8700000001</v>
      </c>
      <c r="L8" s="27">
        <f>SUM(L9:L15)</f>
        <v>66510129.370000005</v>
      </c>
      <c r="M8" s="15">
        <f t="shared" si="3"/>
        <v>0</v>
      </c>
      <c r="N8" s="15">
        <f t="shared" si="3"/>
        <v>0</v>
      </c>
      <c r="O8" s="15">
        <f t="shared" si="3"/>
        <v>0</v>
      </c>
      <c r="P8" s="15">
        <f t="shared" si="3"/>
        <v>0</v>
      </c>
      <c r="Q8" s="15">
        <f t="shared" si="3"/>
        <v>0</v>
      </c>
      <c r="R8" s="15">
        <f t="shared" si="3"/>
        <v>0</v>
      </c>
      <c r="U8" s="8"/>
    </row>
    <row r="9" spans="1:30" x14ac:dyDescent="0.35">
      <c r="A9" s="50" t="s">
        <v>11</v>
      </c>
      <c r="B9" s="28">
        <v>100948606</v>
      </c>
      <c r="C9" s="34"/>
      <c r="D9" s="29">
        <f>3486254.58+2253300+438100</f>
        <v>6177654.5800000001</v>
      </c>
      <c r="E9" s="46">
        <f>3634850.04+2412965.29+438100</f>
        <v>6485915.3300000001</v>
      </c>
      <c r="F9" s="46">
        <f>3454654.58+2375800+438100</f>
        <v>6268554.5800000001</v>
      </c>
      <c r="G9" s="46">
        <f>3561521.24+2459300+438100</f>
        <v>6458921.2400000002</v>
      </c>
      <c r="H9" s="38">
        <f>4204646.5+2312300+438100</f>
        <v>6955046.5</v>
      </c>
      <c r="I9" s="38">
        <f>3874654.58+2498966.67+438100</f>
        <v>6811721.25</v>
      </c>
      <c r="J9" s="38">
        <f>3798787.5+2342300+503100</f>
        <v>6644187.5</v>
      </c>
      <c r="K9" s="38">
        <f>4522039.8+2237687.5+299300</f>
        <v>7059027.2999999998</v>
      </c>
      <c r="L9" s="29">
        <f>SUM(D9:K9)</f>
        <v>52861028.280000001</v>
      </c>
      <c r="M9" s="16"/>
      <c r="N9" s="16"/>
      <c r="O9" s="16"/>
      <c r="P9" s="16"/>
      <c r="Q9" s="16"/>
    </row>
    <row r="10" spans="1:30" x14ac:dyDescent="0.35">
      <c r="A10" s="50" t="s">
        <v>12</v>
      </c>
      <c r="B10" s="28"/>
      <c r="C10" s="35"/>
      <c r="D10" s="46">
        <v>0</v>
      </c>
      <c r="E10" s="46"/>
      <c r="F10" s="46"/>
      <c r="G10" s="46"/>
      <c r="H10" s="38"/>
      <c r="I10" s="38"/>
      <c r="J10" s="38"/>
      <c r="K10" s="38"/>
      <c r="L10" s="29">
        <f t="shared" ref="L10:L59" si="5">SUM(D10:K10)</f>
        <v>0</v>
      </c>
      <c r="M10" s="16"/>
      <c r="N10" s="16"/>
      <c r="O10" s="16"/>
      <c r="P10" s="16"/>
      <c r="Q10" s="16"/>
      <c r="S10" s="5"/>
    </row>
    <row r="11" spans="1:30" x14ac:dyDescent="0.35">
      <c r="A11" s="50" t="s">
        <v>13</v>
      </c>
      <c r="B11" s="28"/>
      <c r="C11" s="35"/>
      <c r="D11" s="46"/>
      <c r="E11" s="46"/>
      <c r="F11" s="46"/>
      <c r="G11" s="46"/>
      <c r="H11" s="38"/>
      <c r="I11" s="38"/>
      <c r="J11" s="38"/>
      <c r="K11" s="38"/>
      <c r="L11" s="29">
        <f t="shared" si="5"/>
        <v>0</v>
      </c>
      <c r="M11" s="16"/>
      <c r="N11" s="16"/>
      <c r="O11" s="16"/>
      <c r="P11" s="16"/>
      <c r="Q11" s="16"/>
    </row>
    <row r="12" spans="1:30" x14ac:dyDescent="0.35">
      <c r="A12" s="50" t="s">
        <v>14</v>
      </c>
      <c r="B12" s="28">
        <v>16768402</v>
      </c>
      <c r="C12" s="35"/>
      <c r="D12" s="29">
        <v>95000</v>
      </c>
      <c r="E12" s="46">
        <v>95000</v>
      </c>
      <c r="F12" s="46">
        <v>95000</v>
      </c>
      <c r="G12" s="46">
        <v>95000</v>
      </c>
      <c r="H12" s="38">
        <f>2663573.61+1576861.12+405100</f>
        <v>4645534.7300000004</v>
      </c>
      <c r="I12" s="38">
        <f>255444.44+246400</f>
        <v>501844.44</v>
      </c>
      <c r="J12" s="38">
        <v>81000</v>
      </c>
      <c r="K12" s="38">
        <v>112600</v>
      </c>
      <c r="L12" s="29">
        <f t="shared" si="5"/>
        <v>5720979.1700000009</v>
      </c>
      <c r="M12" s="16"/>
      <c r="N12" s="16"/>
      <c r="O12" s="16"/>
      <c r="P12" s="16"/>
      <c r="Q12" s="16"/>
    </row>
    <row r="13" spans="1:30" x14ac:dyDescent="0.35">
      <c r="A13" s="50" t="s">
        <v>15</v>
      </c>
      <c r="B13" s="28">
        <v>450000</v>
      </c>
      <c r="C13" s="35"/>
      <c r="D13" s="46"/>
      <c r="E13" s="46">
        <v>36287.11</v>
      </c>
      <c r="F13" s="46">
        <v>22919.97</v>
      </c>
      <c r="G13" s="46">
        <v>20603.919999999998</v>
      </c>
      <c r="H13" s="38">
        <v>37360.730000000003</v>
      </c>
      <c r="I13" s="38">
        <v>28675.63</v>
      </c>
      <c r="J13" s="38">
        <v>9039.7000000000007</v>
      </c>
      <c r="K13" s="38"/>
      <c r="L13" s="29">
        <f t="shared" si="5"/>
        <v>154887.06000000003</v>
      </c>
      <c r="M13" s="16"/>
      <c r="N13" s="16"/>
      <c r="O13" s="16"/>
      <c r="P13" s="16"/>
      <c r="Q13" s="16"/>
    </row>
    <row r="14" spans="1:30" x14ac:dyDescent="0.35">
      <c r="A14" s="50" t="s">
        <v>16</v>
      </c>
      <c r="B14" s="28"/>
      <c r="C14" s="35"/>
      <c r="D14" s="46"/>
      <c r="E14" s="46"/>
      <c r="F14" s="46"/>
      <c r="G14" s="46"/>
      <c r="H14" s="38"/>
      <c r="I14" s="38"/>
      <c r="J14" s="38"/>
      <c r="K14" s="38"/>
      <c r="L14" s="29">
        <f t="shared" si="5"/>
        <v>0</v>
      </c>
      <c r="M14" s="16"/>
      <c r="N14" s="16"/>
      <c r="O14" s="16"/>
      <c r="P14" s="16"/>
      <c r="Q14" s="16"/>
    </row>
    <row r="15" spans="1:30" x14ac:dyDescent="0.35">
      <c r="A15" s="50" t="s">
        <v>17</v>
      </c>
      <c r="B15" s="28">
        <v>13634313</v>
      </c>
      <c r="C15" s="35"/>
      <c r="D15" s="46">
        <f>514909.85+336639.03+66515.68</f>
        <v>918064.56</v>
      </c>
      <c r="E15" s="46">
        <f>520396.45+359521.87+66515.68</f>
        <v>946434</v>
      </c>
      <c r="F15" s="46">
        <f>510257.34+355201.1+66515.68</f>
        <v>931974.11999999988</v>
      </c>
      <c r="G15" s="46">
        <f>526284.04+367990.11+66515.7</f>
        <v>960789.85</v>
      </c>
      <c r="H15" s="38">
        <f>568416.46+346437.23+66515.7</f>
        <v>981369.3899999999</v>
      </c>
      <c r="I15" s="38">
        <f>570563.97+375053.31+66515.7</f>
        <v>1012132.98</v>
      </c>
      <c r="J15" s="38">
        <f>558925.96+351096.73+76486.7</f>
        <v>986509.3899999999</v>
      </c>
      <c r="K15" s="38">
        <f>656755.11+333694.76+45510.7</f>
        <v>1035960.57</v>
      </c>
      <c r="L15" s="29">
        <f t="shared" si="5"/>
        <v>7773234.8600000003</v>
      </c>
      <c r="M15" s="16"/>
      <c r="N15" s="16"/>
      <c r="O15" s="16"/>
      <c r="P15" s="16"/>
      <c r="Q15" s="16"/>
    </row>
    <row r="16" spans="1:30" x14ac:dyDescent="0.35">
      <c r="A16" s="49" t="s">
        <v>18</v>
      </c>
      <c r="B16" s="27">
        <f>SUM(B17:B26)</f>
        <v>17233219</v>
      </c>
      <c r="C16" s="33">
        <f>SUM(C17:C26)</f>
        <v>-1003824</v>
      </c>
      <c r="D16" s="27">
        <f t="shared" ref="D16:Q16" si="6">SUM(D17:D26)</f>
        <v>0</v>
      </c>
      <c r="E16" s="27">
        <f t="shared" si="6"/>
        <v>1143667.8</v>
      </c>
      <c r="F16" s="27">
        <f t="shared" si="6"/>
        <v>1312411.17</v>
      </c>
      <c r="G16" s="27">
        <f t="shared" si="6"/>
        <v>969450.67</v>
      </c>
      <c r="H16" s="37">
        <f t="shared" si="6"/>
        <v>1565847.67</v>
      </c>
      <c r="I16" s="37">
        <f>SUM(I17:I26)</f>
        <v>721983.88</v>
      </c>
      <c r="J16" s="37">
        <f t="shared" ref="J16:L16" si="7">SUM(J17:J26)</f>
        <v>1491286.26</v>
      </c>
      <c r="K16" s="37">
        <f t="shared" si="7"/>
        <v>445984.62</v>
      </c>
      <c r="L16" s="27">
        <f t="shared" si="7"/>
        <v>7650632.0700000003</v>
      </c>
      <c r="M16" s="15">
        <f t="shared" si="6"/>
        <v>0</v>
      </c>
      <c r="N16" s="15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9">
        <f>SUM(R17:R26)</f>
        <v>0</v>
      </c>
      <c r="S16" s="7"/>
    </row>
    <row r="17" spans="1:19" x14ac:dyDescent="0.35">
      <c r="A17" s="50" t="s">
        <v>19</v>
      </c>
      <c r="B17" s="28">
        <v>6930000</v>
      </c>
      <c r="C17" s="30">
        <v>-779600</v>
      </c>
      <c r="D17" s="46"/>
      <c r="E17" s="46">
        <v>597784.4</v>
      </c>
      <c r="F17" s="46">
        <v>298892.2</v>
      </c>
      <c r="G17" s="46">
        <v>298892.2</v>
      </c>
      <c r="H17" s="38">
        <v>766011.63</v>
      </c>
      <c r="I17" s="38">
        <v>130085.43</v>
      </c>
      <c r="J17" s="38">
        <v>733262.39</v>
      </c>
      <c r="K17" s="38">
        <v>119166.45</v>
      </c>
      <c r="L17" s="29">
        <f t="shared" si="5"/>
        <v>2944094.7</v>
      </c>
      <c r="M17" s="16"/>
      <c r="N17" s="16"/>
      <c r="O17" s="16"/>
      <c r="P17" s="16"/>
      <c r="Q17" s="16"/>
      <c r="S17" s="10"/>
    </row>
    <row r="18" spans="1:19" x14ac:dyDescent="0.35">
      <c r="A18" s="50" t="s">
        <v>20</v>
      </c>
      <c r="B18" s="28">
        <v>306268</v>
      </c>
      <c r="C18" s="30">
        <f>70299+293000-25000</f>
        <v>338299</v>
      </c>
      <c r="D18" s="46"/>
      <c r="E18" s="46"/>
      <c r="F18" s="46">
        <v>71780.88</v>
      </c>
      <c r="G18" s="46">
        <f>44604+16860.31</f>
        <v>61464.31</v>
      </c>
      <c r="H18" s="38"/>
      <c r="I18" s="38">
        <v>61148.21</v>
      </c>
      <c r="J18" s="38"/>
      <c r="K18" s="38">
        <f>10602.3+145140</f>
        <v>155742.29999999999</v>
      </c>
      <c r="L18" s="29">
        <f t="shared" si="5"/>
        <v>350135.69999999995</v>
      </c>
      <c r="M18" s="16"/>
      <c r="N18" s="16"/>
      <c r="O18" s="16"/>
      <c r="P18" s="16"/>
      <c r="Q18" s="16"/>
    </row>
    <row r="19" spans="1:19" x14ac:dyDescent="0.35">
      <c r="A19" s="50" t="s">
        <v>21</v>
      </c>
      <c r="B19" s="28">
        <v>720298</v>
      </c>
      <c r="C19" s="30">
        <f>-100000-125000</f>
        <v>-225000</v>
      </c>
      <c r="D19" s="46"/>
      <c r="E19" s="46"/>
      <c r="F19" s="46"/>
      <c r="G19" s="46"/>
      <c r="H19" s="38"/>
      <c r="I19" s="38"/>
      <c r="J19" s="38"/>
      <c r="K19" s="38"/>
      <c r="L19" s="29">
        <f t="shared" si="5"/>
        <v>0</v>
      </c>
      <c r="M19" s="16"/>
      <c r="N19" s="16"/>
      <c r="O19" s="16"/>
      <c r="P19" s="16"/>
      <c r="Q19" s="16"/>
    </row>
    <row r="20" spans="1:19" x14ac:dyDescent="0.35">
      <c r="A20" s="50" t="s">
        <v>22</v>
      </c>
      <c r="B20" s="28">
        <v>569775</v>
      </c>
      <c r="C20" s="30">
        <v>-346703.41</v>
      </c>
      <c r="D20" s="46"/>
      <c r="E20" s="46"/>
      <c r="F20" s="46"/>
      <c r="G20" s="46"/>
      <c r="H20" s="38"/>
      <c r="I20" s="38"/>
      <c r="J20" s="38">
        <v>112300</v>
      </c>
      <c r="K20" s="38"/>
      <c r="L20" s="29">
        <f t="shared" si="5"/>
        <v>112300</v>
      </c>
      <c r="M20" s="16"/>
      <c r="N20" s="16"/>
      <c r="O20" s="16"/>
      <c r="P20" s="16"/>
      <c r="Q20" s="16"/>
    </row>
    <row r="21" spans="1:19" x14ac:dyDescent="0.35">
      <c r="A21" s="50" t="s">
        <v>23</v>
      </c>
      <c r="B21" s="28">
        <v>694777</v>
      </c>
      <c r="C21" s="30">
        <v>829287.41</v>
      </c>
      <c r="D21" s="46"/>
      <c r="E21" s="46"/>
      <c r="F21" s="46"/>
      <c r="G21" s="46"/>
      <c r="H21" s="38">
        <f>168385.41+200000+90000</f>
        <v>458385.41000000003</v>
      </c>
      <c r="I21" s="38">
        <v>138768</v>
      </c>
      <c r="J21" s="38"/>
      <c r="K21" s="38"/>
      <c r="L21" s="29">
        <f t="shared" si="5"/>
        <v>597153.41</v>
      </c>
      <c r="M21" s="16"/>
      <c r="N21" s="16"/>
      <c r="O21" s="16"/>
      <c r="P21" s="16"/>
      <c r="Q21" s="16"/>
    </row>
    <row r="22" spans="1:19" x14ac:dyDescent="0.35">
      <c r="A22" s="50" t="s">
        <v>24</v>
      </c>
      <c r="B22" s="28">
        <v>500000</v>
      </c>
      <c r="C22" s="30">
        <v>-112190</v>
      </c>
      <c r="D22" s="47"/>
      <c r="E22" s="46"/>
      <c r="F22" s="46">
        <v>387808.08</v>
      </c>
      <c r="G22" s="46"/>
      <c r="H22" s="38"/>
      <c r="I22" s="38"/>
      <c r="J22" s="38"/>
      <c r="K22" s="38"/>
      <c r="L22" s="29">
        <f t="shared" si="5"/>
        <v>387808.08</v>
      </c>
      <c r="M22" s="16"/>
      <c r="N22" s="16"/>
      <c r="O22" s="16"/>
      <c r="P22" s="16"/>
      <c r="Q22" s="16"/>
    </row>
    <row r="23" spans="1:19" ht="42" x14ac:dyDescent="0.35">
      <c r="A23" s="50" t="s">
        <v>25</v>
      </c>
      <c r="B23" s="28">
        <v>465072</v>
      </c>
      <c r="C23" s="30">
        <f>-40298+95000+1568</f>
        <v>56270</v>
      </c>
      <c r="D23" s="46"/>
      <c r="E23" s="46">
        <v>21050.16</v>
      </c>
      <c r="F23" s="46">
        <v>58536.9</v>
      </c>
      <c r="G23" s="46">
        <v>128745.03</v>
      </c>
      <c r="H23" s="38">
        <v>48144</v>
      </c>
      <c r="I23" s="38">
        <v>19755.61</v>
      </c>
      <c r="J23" s="38">
        <f>13550.41+30816.74</f>
        <v>44367.15</v>
      </c>
      <c r="K23" s="38">
        <f>19116+40074.35</f>
        <v>59190.35</v>
      </c>
      <c r="L23" s="29">
        <f t="shared" si="5"/>
        <v>379789.2</v>
      </c>
      <c r="M23" s="16"/>
      <c r="N23" s="16"/>
      <c r="O23" s="16"/>
      <c r="P23" s="16"/>
      <c r="Q23" s="16"/>
    </row>
    <row r="24" spans="1:19" x14ac:dyDescent="0.35">
      <c r="A24" s="50" t="s">
        <v>26</v>
      </c>
      <c r="B24" s="28">
        <v>6692552</v>
      </c>
      <c r="C24" s="30">
        <v>-1398710</v>
      </c>
      <c r="D24" s="46"/>
      <c r="E24" s="46">
        <f>418043.43+50000+56789.81</f>
        <v>524833.24</v>
      </c>
      <c r="F24" s="46">
        <f>266076.82+50000+56789.81</f>
        <v>372866.63</v>
      </c>
      <c r="G24" s="46">
        <f>124876.82+100000+56789.81</f>
        <v>281666.63</v>
      </c>
      <c r="H24" s="38">
        <f>88516.82+100000+104789.81</f>
        <v>293306.63</v>
      </c>
      <c r="I24" s="38">
        <f>167097.01+55000+150129.62</f>
        <v>372226.63</v>
      </c>
      <c r="J24" s="38">
        <f>317353.82+94789.9</f>
        <v>412143.72</v>
      </c>
      <c r="K24" s="38">
        <f>9600+147285.52-45000</f>
        <v>111885.51999999999</v>
      </c>
      <c r="L24" s="29">
        <f t="shared" si="5"/>
        <v>2368928.9999999995</v>
      </c>
      <c r="M24" s="16"/>
      <c r="N24" s="16"/>
      <c r="O24" s="16"/>
      <c r="P24" s="16"/>
      <c r="Q24" s="16"/>
    </row>
    <row r="25" spans="1:19" x14ac:dyDescent="0.35">
      <c r="A25" s="50" t="s">
        <v>27</v>
      </c>
      <c r="B25" s="28">
        <f>SUM(C25:D25)</f>
        <v>0</v>
      </c>
      <c r="C25" s="30"/>
      <c r="D25" s="46"/>
      <c r="E25" s="46"/>
      <c r="F25" s="46"/>
      <c r="G25" s="46"/>
      <c r="H25" s="38"/>
      <c r="I25" s="38"/>
      <c r="J25" s="38"/>
      <c r="K25" s="38"/>
      <c r="L25" s="29">
        <f t="shared" si="5"/>
        <v>0</v>
      </c>
      <c r="M25" s="16"/>
      <c r="N25" s="16"/>
      <c r="O25" s="16"/>
      <c r="P25" s="16"/>
      <c r="Q25" s="16"/>
    </row>
    <row r="26" spans="1:19" x14ac:dyDescent="0.35">
      <c r="A26" s="50" t="s">
        <v>28</v>
      </c>
      <c r="B26" s="28">
        <v>354477</v>
      </c>
      <c r="C26" s="30">
        <v>634523</v>
      </c>
      <c r="D26" s="46"/>
      <c r="E26" s="46"/>
      <c r="F26" s="46">
        <v>122526.48</v>
      </c>
      <c r="G26" s="46">
        <f>162692.5+35990</f>
        <v>198682.5</v>
      </c>
      <c r="H26" s="38"/>
      <c r="I26" s="38"/>
      <c r="J26" s="38">
        <f>112985+76228</f>
        <v>189213</v>
      </c>
      <c r="K26" s="38"/>
      <c r="L26" s="29">
        <f t="shared" si="5"/>
        <v>510421.98</v>
      </c>
      <c r="M26" s="16"/>
      <c r="N26" s="16"/>
      <c r="O26" s="16"/>
      <c r="P26" s="16"/>
      <c r="Q26" s="16"/>
    </row>
    <row r="27" spans="1:19" x14ac:dyDescent="0.35">
      <c r="A27" s="49" t="s">
        <v>29</v>
      </c>
      <c r="B27" s="27">
        <f>SUM(B28:B36)</f>
        <v>20573317</v>
      </c>
      <c r="C27" s="33">
        <f>SUM(C28:C36)</f>
        <v>-7248215</v>
      </c>
      <c r="D27" s="27">
        <f t="shared" ref="D27:Q27" si="8">SUM(D28:D36)</f>
        <v>0</v>
      </c>
      <c r="E27" s="27">
        <f t="shared" si="8"/>
        <v>0</v>
      </c>
      <c r="F27" s="27">
        <f t="shared" si="8"/>
        <v>1301233.96</v>
      </c>
      <c r="G27" s="27">
        <f t="shared" si="8"/>
        <v>307301.78999999998</v>
      </c>
      <c r="H27" s="37">
        <f t="shared" si="8"/>
        <v>329300.32</v>
      </c>
      <c r="I27" s="37">
        <f t="shared" si="8"/>
        <v>701926.66</v>
      </c>
      <c r="J27" s="37">
        <f t="shared" si="8"/>
        <v>521763.42</v>
      </c>
      <c r="K27" s="37">
        <f>SUM(K28:K36)</f>
        <v>2406615.8699999996</v>
      </c>
      <c r="L27" s="27">
        <f t="shared" si="8"/>
        <v>5568142.0200000005</v>
      </c>
      <c r="M27" s="15">
        <f t="shared" si="8"/>
        <v>0</v>
      </c>
      <c r="N27" s="15">
        <f t="shared" si="8"/>
        <v>0</v>
      </c>
      <c r="O27" s="15">
        <f t="shared" si="8"/>
        <v>0</v>
      </c>
      <c r="P27" s="15">
        <f t="shared" si="8"/>
        <v>0</v>
      </c>
      <c r="Q27" s="15">
        <f t="shared" si="8"/>
        <v>0</v>
      </c>
    </row>
    <row r="28" spans="1:19" x14ac:dyDescent="0.35">
      <c r="A28" s="50" t="s">
        <v>30</v>
      </c>
      <c r="B28" s="28">
        <v>409761</v>
      </c>
      <c r="C28" s="30">
        <v>40239</v>
      </c>
      <c r="D28" s="46"/>
      <c r="E28" s="46"/>
      <c r="F28" s="46">
        <v>151226</v>
      </c>
      <c r="G28" s="46"/>
      <c r="H28" s="38">
        <v>11522.45</v>
      </c>
      <c r="I28" s="38">
        <v>14602.5</v>
      </c>
      <c r="J28" s="38"/>
      <c r="K28" s="38">
        <v>-11522.45</v>
      </c>
      <c r="L28" s="29">
        <f t="shared" si="5"/>
        <v>165828.5</v>
      </c>
      <c r="M28" s="16"/>
      <c r="N28" s="16"/>
      <c r="O28" s="16"/>
      <c r="P28" s="16"/>
      <c r="Q28" s="16"/>
    </row>
    <row r="29" spans="1:19" x14ac:dyDescent="0.35">
      <c r="A29" s="50" t="s">
        <v>31</v>
      </c>
      <c r="B29" s="28">
        <v>207700</v>
      </c>
      <c r="C29" s="30">
        <v>672300</v>
      </c>
      <c r="D29" s="46"/>
      <c r="E29" s="46"/>
      <c r="F29" s="46"/>
      <c r="G29" s="46"/>
      <c r="H29" s="38"/>
      <c r="I29" s="38"/>
      <c r="J29" s="38"/>
      <c r="K29" s="38"/>
      <c r="L29" s="29">
        <f t="shared" si="5"/>
        <v>0</v>
      </c>
      <c r="M29" s="16"/>
      <c r="N29" s="16"/>
      <c r="O29" s="16"/>
      <c r="P29" s="16"/>
      <c r="Q29" s="16"/>
    </row>
    <row r="30" spans="1:19" x14ac:dyDescent="0.35">
      <c r="A30" s="50" t="s">
        <v>32</v>
      </c>
      <c r="B30" s="28">
        <v>505611</v>
      </c>
      <c r="C30" s="30">
        <v>99389</v>
      </c>
      <c r="D30" s="46"/>
      <c r="E30" s="46"/>
      <c r="F30" s="46">
        <v>141747.03</v>
      </c>
      <c r="G30" s="46"/>
      <c r="H30" s="38">
        <v>104725</v>
      </c>
      <c r="I30" s="38">
        <v>5896.28</v>
      </c>
      <c r="J30" s="38">
        <v>34345</v>
      </c>
      <c r="K30" s="38">
        <v>-104725</v>
      </c>
      <c r="L30" s="29">
        <f t="shared" si="5"/>
        <v>181988.31</v>
      </c>
      <c r="M30" s="16"/>
      <c r="N30" s="16"/>
      <c r="O30" s="16"/>
      <c r="P30" s="16"/>
      <c r="Q30" s="16"/>
    </row>
    <row r="31" spans="1:19" x14ac:dyDescent="0.35">
      <c r="A31" s="50" t="s">
        <v>33</v>
      </c>
      <c r="B31" s="28">
        <v>20000</v>
      </c>
      <c r="C31" s="30"/>
      <c r="D31" s="46"/>
      <c r="E31" s="46"/>
      <c r="F31" s="46"/>
      <c r="G31" s="46"/>
      <c r="H31" s="38"/>
      <c r="I31" s="38"/>
      <c r="J31" s="38"/>
      <c r="K31" s="38"/>
      <c r="L31" s="29">
        <f t="shared" si="5"/>
        <v>0</v>
      </c>
      <c r="M31" s="16"/>
      <c r="N31" s="16"/>
      <c r="O31" s="16"/>
      <c r="P31" s="16"/>
      <c r="Q31" s="16"/>
    </row>
    <row r="32" spans="1:19" x14ac:dyDescent="0.35">
      <c r="A32" s="50" t="s">
        <v>34</v>
      </c>
      <c r="B32" s="28">
        <v>148954</v>
      </c>
      <c r="C32" s="30">
        <f>1046-14857</f>
        <v>-13811</v>
      </c>
      <c r="D32" s="46"/>
      <c r="E32" s="46"/>
      <c r="F32" s="46"/>
      <c r="G32" s="46"/>
      <c r="H32" s="38"/>
      <c r="I32" s="38"/>
      <c r="J32" s="38"/>
      <c r="K32" s="38">
        <v>823.47</v>
      </c>
      <c r="L32" s="29">
        <f t="shared" si="5"/>
        <v>823.47</v>
      </c>
      <c r="M32" s="16"/>
      <c r="N32" s="16"/>
      <c r="O32" s="16"/>
      <c r="P32" s="16"/>
      <c r="Q32" s="16"/>
    </row>
    <row r="33" spans="1:17" x14ac:dyDescent="0.35">
      <c r="A33" s="50" t="s">
        <v>35</v>
      </c>
      <c r="B33" s="28">
        <v>183789</v>
      </c>
      <c r="C33" s="30">
        <v>-30000</v>
      </c>
      <c r="D33" s="46"/>
      <c r="E33" s="46"/>
      <c r="F33" s="46"/>
      <c r="G33" s="46">
        <v>10531</v>
      </c>
      <c r="H33" s="38"/>
      <c r="I33" s="38"/>
      <c r="J33" s="38">
        <v>10476.73</v>
      </c>
      <c r="K33" s="38">
        <v>6315.01</v>
      </c>
      <c r="L33" s="29">
        <f t="shared" si="5"/>
        <v>27322.739999999998</v>
      </c>
      <c r="M33" s="16"/>
      <c r="N33" s="16"/>
      <c r="O33" s="16"/>
      <c r="P33" s="16"/>
      <c r="Q33" s="16"/>
    </row>
    <row r="34" spans="1:17" x14ac:dyDescent="0.35">
      <c r="A34" s="50" t="s">
        <v>36</v>
      </c>
      <c r="B34" s="28">
        <v>8792549</v>
      </c>
      <c r="C34" s="30">
        <f>-1699327+1013500+730049</f>
        <v>44222</v>
      </c>
      <c r="D34" s="46"/>
      <c r="E34" s="46"/>
      <c r="F34" s="29">
        <v>750930</v>
      </c>
      <c r="G34" s="46"/>
      <c r="H34" s="38"/>
      <c r="I34" s="38">
        <v>366979.99</v>
      </c>
      <c r="J34" s="38">
        <v>91200.08</v>
      </c>
      <c r="K34" s="38">
        <f>1247250+1246800</f>
        <v>2494050</v>
      </c>
      <c r="L34" s="29">
        <f t="shared" si="5"/>
        <v>3703160.0700000003</v>
      </c>
      <c r="M34" s="16"/>
      <c r="N34" s="16"/>
      <c r="O34" s="16"/>
      <c r="P34" s="16"/>
      <c r="Q34" s="16"/>
    </row>
    <row r="35" spans="1:17" ht="42" x14ac:dyDescent="0.35">
      <c r="A35" s="50" t="s">
        <v>37</v>
      </c>
      <c r="B35" s="28"/>
      <c r="C35" s="30"/>
      <c r="D35" s="46"/>
      <c r="E35" s="46"/>
      <c r="F35" s="46"/>
      <c r="G35" s="46"/>
      <c r="H35" s="38"/>
      <c r="I35" s="38"/>
      <c r="J35" s="38"/>
      <c r="K35" s="38"/>
      <c r="L35" s="29">
        <f t="shared" si="5"/>
        <v>0</v>
      </c>
      <c r="M35" s="16"/>
      <c r="N35" s="16"/>
      <c r="O35" s="16"/>
      <c r="P35" s="16"/>
      <c r="Q35" s="16"/>
    </row>
    <row r="36" spans="1:17" x14ac:dyDescent="0.35">
      <c r="A36" s="50" t="s">
        <v>38</v>
      </c>
      <c r="B36" s="28">
        <v>10304953</v>
      </c>
      <c r="C36" s="30">
        <f>-8167122+106568</f>
        <v>-8060554</v>
      </c>
      <c r="D36" s="46"/>
      <c r="E36" s="46"/>
      <c r="F36" s="46">
        <v>257330.93</v>
      </c>
      <c r="G36" s="46">
        <v>296770.78999999998</v>
      </c>
      <c r="H36" s="38">
        <v>213052.87</v>
      </c>
      <c r="I36" s="38">
        <v>314447.89</v>
      </c>
      <c r="J36" s="38">
        <v>385741.61</v>
      </c>
      <c r="K36" s="38">
        <v>21674.84</v>
      </c>
      <c r="L36" s="29">
        <f t="shared" si="5"/>
        <v>1489018.93</v>
      </c>
      <c r="M36" s="16"/>
      <c r="N36" s="16"/>
      <c r="O36" s="16"/>
      <c r="P36" s="16"/>
      <c r="Q36" s="16"/>
    </row>
    <row r="37" spans="1:17" x14ac:dyDescent="0.35">
      <c r="A37" s="49" t="s">
        <v>39</v>
      </c>
      <c r="B37" s="27">
        <f t="shared" ref="B37:L37" si="9">SUM(B38:B44)</f>
        <v>930148</v>
      </c>
      <c r="C37" s="33">
        <f t="shared" si="9"/>
        <v>-352237.5</v>
      </c>
      <c r="D37" s="27">
        <f t="shared" si="9"/>
        <v>0</v>
      </c>
      <c r="E37" s="27">
        <f t="shared" si="9"/>
        <v>0</v>
      </c>
      <c r="F37" s="27">
        <f t="shared" si="9"/>
        <v>168757</v>
      </c>
      <c r="G37" s="27">
        <f t="shared" si="9"/>
        <v>79920</v>
      </c>
      <c r="H37" s="27">
        <f t="shared" si="9"/>
        <v>0</v>
      </c>
      <c r="I37" s="27">
        <f t="shared" si="9"/>
        <v>0</v>
      </c>
      <c r="J37" s="27">
        <f t="shared" si="9"/>
        <v>0</v>
      </c>
      <c r="K37" s="27">
        <f>SUM(K38:K44)</f>
        <v>0</v>
      </c>
      <c r="L37" s="27">
        <f t="shared" si="9"/>
        <v>248677</v>
      </c>
      <c r="M37" s="15"/>
      <c r="N37" s="15"/>
      <c r="O37" s="15"/>
      <c r="P37" s="15"/>
      <c r="Q37" s="15"/>
    </row>
    <row r="38" spans="1:17" x14ac:dyDescent="0.35">
      <c r="A38" s="50" t="s">
        <v>40</v>
      </c>
      <c r="B38" s="28">
        <v>930148</v>
      </c>
      <c r="C38" s="30">
        <v>-352237.5</v>
      </c>
      <c r="D38" s="46"/>
      <c r="E38" s="46"/>
      <c r="F38" s="46">
        <f>30000+70000</f>
        <v>100000</v>
      </c>
      <c r="G38" s="46">
        <v>79920</v>
      </c>
      <c r="H38" s="38"/>
      <c r="I38" s="38"/>
      <c r="J38" s="38"/>
      <c r="K38" s="38"/>
      <c r="L38" s="29">
        <f t="shared" si="5"/>
        <v>179920</v>
      </c>
      <c r="M38" s="16"/>
      <c r="N38" s="16"/>
      <c r="O38" s="16"/>
      <c r="P38" s="16"/>
      <c r="Q38" s="16"/>
    </row>
    <row r="39" spans="1:17" x14ac:dyDescent="0.35">
      <c r="A39" s="50" t="s">
        <v>41</v>
      </c>
      <c r="B39" s="28"/>
      <c r="C39" s="35">
        <v>0</v>
      </c>
      <c r="D39" s="46"/>
      <c r="E39" s="46"/>
      <c r="F39" s="46"/>
      <c r="G39" s="46"/>
      <c r="H39" s="38"/>
      <c r="I39" s="38"/>
      <c r="J39" s="38"/>
      <c r="K39" s="38"/>
      <c r="L39" s="29">
        <f t="shared" si="5"/>
        <v>0</v>
      </c>
      <c r="M39" s="16"/>
      <c r="N39" s="16"/>
      <c r="O39" s="16"/>
      <c r="P39" s="16"/>
      <c r="Q39" s="16"/>
    </row>
    <row r="40" spans="1:17" x14ac:dyDescent="0.35">
      <c r="A40" s="50" t="s">
        <v>42</v>
      </c>
      <c r="B40" s="28"/>
      <c r="C40" s="35">
        <v>0</v>
      </c>
      <c r="D40" s="46"/>
      <c r="E40" s="46"/>
      <c r="F40" s="46"/>
      <c r="G40" s="46"/>
      <c r="H40" s="38"/>
      <c r="I40" s="38"/>
      <c r="J40" s="38"/>
      <c r="K40" s="38"/>
      <c r="L40" s="29">
        <f t="shared" si="5"/>
        <v>0</v>
      </c>
      <c r="M40" s="16"/>
      <c r="N40" s="16"/>
      <c r="O40" s="16"/>
      <c r="P40" s="16"/>
      <c r="Q40" s="16"/>
    </row>
    <row r="41" spans="1:17" x14ac:dyDescent="0.35">
      <c r="A41" s="50" t="s">
        <v>43</v>
      </c>
      <c r="B41" s="28"/>
      <c r="C41" s="35">
        <v>0</v>
      </c>
      <c r="D41" s="46"/>
      <c r="E41" s="46"/>
      <c r="F41" s="46"/>
      <c r="G41" s="46"/>
      <c r="H41" s="38"/>
      <c r="I41" s="38"/>
      <c r="J41" s="38"/>
      <c r="K41" s="38"/>
      <c r="L41" s="29">
        <f t="shared" si="5"/>
        <v>0</v>
      </c>
      <c r="M41" s="16"/>
      <c r="N41" s="16"/>
      <c r="O41" s="16"/>
      <c r="P41" s="16"/>
      <c r="Q41" s="16"/>
    </row>
    <row r="42" spans="1:17" ht="42" x14ac:dyDescent="0.35">
      <c r="A42" s="50" t="s">
        <v>44</v>
      </c>
      <c r="B42" s="28"/>
      <c r="C42" s="35">
        <v>0</v>
      </c>
      <c r="D42" s="46">
        <v>0</v>
      </c>
      <c r="E42" s="46">
        <v>0</v>
      </c>
      <c r="F42" s="46"/>
      <c r="G42" s="46"/>
      <c r="H42" s="38"/>
      <c r="I42" s="38"/>
      <c r="J42" s="38"/>
      <c r="K42" s="38"/>
      <c r="L42" s="29">
        <f t="shared" si="5"/>
        <v>0</v>
      </c>
      <c r="M42" s="16"/>
      <c r="N42" s="16"/>
      <c r="O42" s="16"/>
      <c r="P42" s="16"/>
      <c r="Q42" s="16"/>
    </row>
    <row r="43" spans="1:17" x14ac:dyDescent="0.35">
      <c r="A43" s="50" t="s">
        <v>45</v>
      </c>
      <c r="B43" s="28"/>
      <c r="C43" s="35">
        <v>0</v>
      </c>
      <c r="D43" s="46">
        <v>0</v>
      </c>
      <c r="E43" s="46">
        <v>0</v>
      </c>
      <c r="F43" s="46">
        <f>50000+18757</f>
        <v>68757</v>
      </c>
      <c r="G43" s="46"/>
      <c r="H43" s="38"/>
      <c r="I43" s="38"/>
      <c r="J43" s="38"/>
      <c r="K43" s="38"/>
      <c r="L43" s="29">
        <f t="shared" si="5"/>
        <v>68757</v>
      </c>
      <c r="M43" s="16"/>
      <c r="N43" s="16"/>
      <c r="O43" s="16"/>
      <c r="P43" s="16"/>
      <c r="Q43" s="16"/>
    </row>
    <row r="44" spans="1:17" x14ac:dyDescent="0.35">
      <c r="A44" s="50" t="s">
        <v>46</v>
      </c>
      <c r="B44" s="28"/>
      <c r="C44" s="35">
        <v>0</v>
      </c>
      <c r="D44" s="46">
        <v>0</v>
      </c>
      <c r="E44" s="46">
        <v>0</v>
      </c>
      <c r="F44" s="46"/>
      <c r="G44" s="46"/>
      <c r="H44" s="38"/>
      <c r="I44" s="38"/>
      <c r="J44" s="38"/>
      <c r="K44" s="38"/>
      <c r="L44" s="29">
        <f t="shared" si="5"/>
        <v>0</v>
      </c>
      <c r="M44" s="16"/>
      <c r="N44" s="16"/>
      <c r="O44" s="16"/>
      <c r="P44" s="16"/>
      <c r="Q44" s="16"/>
    </row>
    <row r="45" spans="1:17" x14ac:dyDescent="0.35">
      <c r="A45" s="49" t="s">
        <v>47</v>
      </c>
      <c r="B45" s="28"/>
      <c r="C45" s="35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16"/>
      <c r="N45" s="16"/>
      <c r="O45" s="16"/>
      <c r="P45" s="16"/>
      <c r="Q45" s="16"/>
    </row>
    <row r="46" spans="1:17" x14ac:dyDescent="0.35">
      <c r="A46" s="50" t="s">
        <v>48</v>
      </c>
      <c r="B46" s="28"/>
      <c r="C46" s="35">
        <v>0</v>
      </c>
      <c r="D46" s="46">
        <v>0</v>
      </c>
      <c r="E46" s="46">
        <v>0</v>
      </c>
      <c r="F46" s="46"/>
      <c r="G46" s="46"/>
      <c r="H46" s="38"/>
      <c r="I46" s="38"/>
      <c r="J46" s="38"/>
      <c r="K46" s="38"/>
      <c r="L46" s="29">
        <f t="shared" si="5"/>
        <v>0</v>
      </c>
      <c r="M46" s="16"/>
      <c r="N46" s="16"/>
      <c r="O46" s="16"/>
      <c r="P46" s="16"/>
      <c r="Q46" s="16"/>
    </row>
    <row r="47" spans="1:17" x14ac:dyDescent="0.35">
      <c r="A47" s="50" t="s">
        <v>49</v>
      </c>
      <c r="B47" s="28"/>
      <c r="C47" s="35">
        <v>0</v>
      </c>
      <c r="D47" s="46">
        <v>0</v>
      </c>
      <c r="E47" s="46">
        <v>0</v>
      </c>
      <c r="F47" s="46"/>
      <c r="G47" s="46"/>
      <c r="H47" s="38"/>
      <c r="I47" s="38"/>
      <c r="J47" s="38"/>
      <c r="K47" s="38"/>
      <c r="L47" s="29">
        <f t="shared" si="5"/>
        <v>0</v>
      </c>
      <c r="M47" s="16"/>
      <c r="N47" s="16"/>
      <c r="O47" s="16"/>
      <c r="P47" s="16"/>
      <c r="Q47" s="16"/>
    </row>
    <row r="48" spans="1:17" x14ac:dyDescent="0.35">
      <c r="A48" s="50" t="s">
        <v>50</v>
      </c>
      <c r="B48" s="28"/>
      <c r="C48" s="35">
        <v>0</v>
      </c>
      <c r="D48" s="46">
        <v>0</v>
      </c>
      <c r="E48" s="46">
        <v>0</v>
      </c>
      <c r="F48" s="46"/>
      <c r="G48" s="46"/>
      <c r="H48" s="38"/>
      <c r="I48" s="38"/>
      <c r="J48" s="38"/>
      <c r="K48" s="38"/>
      <c r="L48" s="29">
        <f t="shared" si="5"/>
        <v>0</v>
      </c>
      <c r="M48" s="16"/>
      <c r="N48" s="16"/>
      <c r="O48" s="16"/>
      <c r="P48" s="16"/>
      <c r="Q48" s="16"/>
    </row>
    <row r="49" spans="1:17" x14ac:dyDescent="0.35">
      <c r="A49" s="50" t="s">
        <v>51</v>
      </c>
      <c r="B49" s="28"/>
      <c r="C49" s="35">
        <v>0</v>
      </c>
      <c r="D49" s="46">
        <v>0</v>
      </c>
      <c r="E49" s="46">
        <v>0</v>
      </c>
      <c r="F49" s="46"/>
      <c r="G49" s="46"/>
      <c r="H49" s="38"/>
      <c r="I49" s="38"/>
      <c r="J49" s="38"/>
      <c r="K49" s="38"/>
      <c r="L49" s="29">
        <f t="shared" si="5"/>
        <v>0</v>
      </c>
      <c r="M49" s="16"/>
      <c r="N49" s="16"/>
      <c r="O49" s="16"/>
      <c r="P49" s="16"/>
      <c r="Q49" s="16"/>
    </row>
    <row r="50" spans="1:17" x14ac:dyDescent="0.35">
      <c r="A50" s="50" t="s">
        <v>52</v>
      </c>
      <c r="B50" s="28"/>
      <c r="C50" s="35">
        <v>0</v>
      </c>
      <c r="D50" s="46">
        <v>0</v>
      </c>
      <c r="E50" s="46">
        <v>0</v>
      </c>
      <c r="F50" s="46"/>
      <c r="G50" s="46"/>
      <c r="H50" s="38"/>
      <c r="I50" s="38"/>
      <c r="J50" s="38"/>
      <c r="K50" s="38"/>
      <c r="L50" s="29">
        <f t="shared" si="5"/>
        <v>0</v>
      </c>
      <c r="M50" s="16"/>
      <c r="N50" s="16"/>
      <c r="O50" s="16"/>
      <c r="P50" s="16"/>
      <c r="Q50" s="16"/>
    </row>
    <row r="51" spans="1:17" x14ac:dyDescent="0.35">
      <c r="A51" s="50" t="s">
        <v>53</v>
      </c>
      <c r="B51" s="28"/>
      <c r="C51" s="35">
        <v>0</v>
      </c>
      <c r="D51" s="46">
        <v>0</v>
      </c>
      <c r="E51" s="46">
        <v>0</v>
      </c>
      <c r="F51" s="46"/>
      <c r="G51" s="46"/>
      <c r="H51" s="38"/>
      <c r="I51" s="38"/>
      <c r="J51" s="38"/>
      <c r="K51" s="38"/>
      <c r="L51" s="29">
        <f t="shared" si="5"/>
        <v>0</v>
      </c>
      <c r="M51" s="16"/>
      <c r="N51" s="16"/>
      <c r="O51" s="16"/>
      <c r="P51" s="16"/>
      <c r="Q51" s="16"/>
    </row>
    <row r="52" spans="1:17" x14ac:dyDescent="0.35">
      <c r="A52" s="49" t="s">
        <v>54</v>
      </c>
      <c r="B52" s="27">
        <f>SUM(B53:B61)</f>
        <v>9194118</v>
      </c>
      <c r="C52" s="33">
        <f>SUM(C53:C61)</f>
        <v>-1537712.5</v>
      </c>
      <c r="D52" s="27">
        <f t="shared" ref="D52:Q52" si="10">SUM(D53:D61)</f>
        <v>0</v>
      </c>
      <c r="E52" s="27">
        <f t="shared" si="10"/>
        <v>0</v>
      </c>
      <c r="F52" s="27">
        <f t="shared" si="10"/>
        <v>17818</v>
      </c>
      <c r="G52" s="27">
        <f t="shared" si="10"/>
        <v>0</v>
      </c>
      <c r="H52" s="37">
        <f t="shared" si="10"/>
        <v>149348.76</v>
      </c>
      <c r="I52" s="37">
        <f>SUM(I53:I61)</f>
        <v>20650</v>
      </c>
      <c r="J52" s="37">
        <f>SUM(J53:J61)</f>
        <v>1056697.68</v>
      </c>
      <c r="K52" s="37">
        <f>SUM(K53:K61)</f>
        <v>0</v>
      </c>
      <c r="L52" s="27">
        <f t="shared" ref="L52" si="11">SUM(L53:L61)</f>
        <v>1244514.44</v>
      </c>
      <c r="M52" s="15">
        <f t="shared" si="10"/>
        <v>0</v>
      </c>
      <c r="N52" s="15">
        <f t="shared" si="10"/>
        <v>0</v>
      </c>
      <c r="O52" s="15">
        <f t="shared" si="10"/>
        <v>0</v>
      </c>
      <c r="P52" s="15">
        <f t="shared" si="10"/>
        <v>0</v>
      </c>
      <c r="Q52" s="15">
        <f t="shared" si="10"/>
        <v>0</v>
      </c>
    </row>
    <row r="53" spans="1:17" x14ac:dyDescent="0.35">
      <c r="A53" s="50" t="s">
        <v>55</v>
      </c>
      <c r="B53" s="28">
        <v>6676722</v>
      </c>
      <c r="C53" s="30">
        <v>-976722</v>
      </c>
      <c r="D53" s="46"/>
      <c r="E53" s="46"/>
      <c r="F53" s="46"/>
      <c r="G53" s="46"/>
      <c r="H53" s="38"/>
      <c r="I53" s="38"/>
      <c r="J53" s="38">
        <v>1056697.68</v>
      </c>
      <c r="K53" s="38"/>
      <c r="L53" s="29">
        <f t="shared" si="5"/>
        <v>1056697.68</v>
      </c>
      <c r="M53" s="16"/>
      <c r="N53" s="16"/>
      <c r="O53" s="16"/>
      <c r="P53" s="16"/>
      <c r="Q53" s="16"/>
    </row>
    <row r="54" spans="1:17" x14ac:dyDescent="0.35">
      <c r="A54" s="50" t="s">
        <v>56</v>
      </c>
      <c r="B54" s="28">
        <v>579552</v>
      </c>
      <c r="C54" s="30">
        <v>408433</v>
      </c>
      <c r="D54" s="46"/>
      <c r="E54" s="46"/>
      <c r="F54" s="46">
        <v>17818</v>
      </c>
      <c r="G54" s="46"/>
      <c r="H54" s="38">
        <v>149348.76</v>
      </c>
      <c r="I54" s="38">
        <v>20650</v>
      </c>
      <c r="J54" s="38"/>
      <c r="K54" s="38"/>
      <c r="L54" s="29">
        <f t="shared" si="5"/>
        <v>187816.76</v>
      </c>
      <c r="M54" s="16"/>
      <c r="N54" s="16"/>
      <c r="O54" s="16"/>
      <c r="P54" s="16"/>
      <c r="Q54" s="16"/>
    </row>
    <row r="55" spans="1:17" x14ac:dyDescent="0.35">
      <c r="A55" s="50" t="s">
        <v>57</v>
      </c>
      <c r="B55" s="28"/>
      <c r="C55" s="30"/>
      <c r="D55" s="46">
        <v>0</v>
      </c>
      <c r="E55" s="46">
        <v>0</v>
      </c>
      <c r="F55" s="46"/>
      <c r="G55" s="46"/>
      <c r="H55" s="38"/>
      <c r="I55" s="38"/>
      <c r="J55" s="38"/>
      <c r="K55" s="38"/>
      <c r="L55" s="29">
        <f t="shared" si="5"/>
        <v>0</v>
      </c>
      <c r="M55" s="16"/>
      <c r="N55" s="16"/>
      <c r="O55" s="16"/>
      <c r="P55" s="16"/>
      <c r="Q55" s="16"/>
    </row>
    <row r="56" spans="1:17" x14ac:dyDescent="0.35">
      <c r="A56" s="50" t="s">
        <v>58</v>
      </c>
      <c r="B56" s="28">
        <v>558977</v>
      </c>
      <c r="C56" s="30">
        <v>-558976.5</v>
      </c>
      <c r="D56" s="46">
        <v>0</v>
      </c>
      <c r="E56" s="46">
        <v>0</v>
      </c>
      <c r="F56" s="46"/>
      <c r="G56" s="46"/>
      <c r="H56" s="38"/>
      <c r="I56" s="38"/>
      <c r="J56" s="38"/>
      <c r="K56" s="38"/>
      <c r="L56" s="29">
        <f t="shared" si="5"/>
        <v>0</v>
      </c>
      <c r="M56" s="16"/>
      <c r="N56" s="16"/>
      <c r="O56" s="16"/>
      <c r="P56" s="16"/>
      <c r="Q56" s="16"/>
    </row>
    <row r="57" spans="1:17" x14ac:dyDescent="0.35">
      <c r="A57" s="50" t="s">
        <v>59</v>
      </c>
      <c r="B57" s="28">
        <v>378420</v>
      </c>
      <c r="C57" s="30">
        <v>190000</v>
      </c>
      <c r="D57" s="46">
        <v>0</v>
      </c>
      <c r="E57" s="46">
        <v>0</v>
      </c>
      <c r="F57" s="46"/>
      <c r="G57" s="46"/>
      <c r="H57" s="38"/>
      <c r="I57" s="38"/>
      <c r="J57" s="38"/>
      <c r="K57" s="38"/>
      <c r="L57" s="29">
        <f t="shared" si="5"/>
        <v>0</v>
      </c>
      <c r="M57" s="16"/>
      <c r="N57" s="16"/>
      <c r="O57" s="16"/>
      <c r="P57" s="16"/>
      <c r="Q57" s="16"/>
    </row>
    <row r="58" spans="1:17" x14ac:dyDescent="0.35">
      <c r="A58" s="50" t="s">
        <v>60</v>
      </c>
      <c r="B58" s="28"/>
      <c r="C58" s="30"/>
      <c r="D58" s="46">
        <v>0</v>
      </c>
      <c r="E58" s="46">
        <v>0</v>
      </c>
      <c r="F58" s="46"/>
      <c r="G58" s="46"/>
      <c r="H58" s="38"/>
      <c r="I58" s="38"/>
      <c r="J58" s="38"/>
      <c r="K58" s="38"/>
      <c r="L58" s="29">
        <f t="shared" si="5"/>
        <v>0</v>
      </c>
      <c r="M58" s="16"/>
      <c r="N58" s="16"/>
      <c r="O58" s="16"/>
      <c r="P58" s="16"/>
      <c r="Q58" s="16"/>
    </row>
    <row r="59" spans="1:17" x14ac:dyDescent="0.35">
      <c r="A59" s="50" t="s">
        <v>61</v>
      </c>
      <c r="B59" s="28"/>
      <c r="C59" s="30">
        <v>0</v>
      </c>
      <c r="D59" s="46">
        <v>0</v>
      </c>
      <c r="E59" s="46">
        <v>0</v>
      </c>
      <c r="F59" s="46"/>
      <c r="G59" s="46"/>
      <c r="H59" s="38"/>
      <c r="I59" s="38"/>
      <c r="J59" s="38"/>
      <c r="K59" s="38"/>
      <c r="L59" s="29">
        <f t="shared" si="5"/>
        <v>0</v>
      </c>
      <c r="M59" s="16"/>
      <c r="N59" s="16"/>
      <c r="O59" s="16"/>
      <c r="P59" s="16"/>
      <c r="Q59" s="16"/>
    </row>
    <row r="60" spans="1:17" x14ac:dyDescent="0.35">
      <c r="A60" s="50" t="s">
        <v>62</v>
      </c>
      <c r="B60" s="28">
        <v>1000447</v>
      </c>
      <c r="C60" s="30">
        <v>-600447</v>
      </c>
      <c r="D60" s="46">
        <v>0</v>
      </c>
      <c r="E60" s="46">
        <v>0</v>
      </c>
      <c r="F60" s="46"/>
      <c r="G60" s="46"/>
      <c r="H60" s="38"/>
      <c r="I60" s="38"/>
      <c r="J60" s="38"/>
      <c r="K60" s="38"/>
      <c r="L60" s="29">
        <f>SUM(D60:K60)</f>
        <v>0</v>
      </c>
      <c r="M60" s="16"/>
      <c r="N60" s="16"/>
      <c r="O60" s="16"/>
      <c r="P60" s="16"/>
      <c r="Q60" s="16"/>
    </row>
    <row r="61" spans="1:17" x14ac:dyDescent="0.35">
      <c r="A61" s="50" t="s">
        <v>63</v>
      </c>
      <c r="B61" s="28"/>
      <c r="C61" s="30">
        <v>0</v>
      </c>
      <c r="D61" s="46">
        <v>0</v>
      </c>
      <c r="E61" s="46">
        <v>0</v>
      </c>
      <c r="F61" s="46"/>
      <c r="G61" s="46"/>
      <c r="H61" s="38"/>
      <c r="I61" s="38"/>
      <c r="J61" s="38"/>
      <c r="K61" s="38"/>
      <c r="L61" s="29">
        <f>SUM(D61:K61)</f>
        <v>0</v>
      </c>
      <c r="M61" s="16"/>
      <c r="N61" s="16"/>
      <c r="O61" s="16"/>
      <c r="P61" s="16"/>
      <c r="Q61" s="16"/>
    </row>
    <row r="62" spans="1:17" s="11" customFormat="1" x14ac:dyDescent="0.35">
      <c r="A62" s="49" t="s">
        <v>64</v>
      </c>
      <c r="B62" s="27">
        <f>SUM(B63:B66)</f>
        <v>24477</v>
      </c>
      <c r="C62" s="32">
        <f>SUM(C63:C73)</f>
        <v>9175523</v>
      </c>
      <c r="D62" s="32">
        <f t="shared" ref="D62:Q62" si="12">SUM(D63:D73)</f>
        <v>0</v>
      </c>
      <c r="E62" s="32">
        <f t="shared" si="12"/>
        <v>0</v>
      </c>
      <c r="F62" s="32"/>
      <c r="G62" s="32"/>
      <c r="H62" s="32"/>
      <c r="I62" s="32"/>
      <c r="J62" s="32"/>
      <c r="K62" s="32"/>
      <c r="L62" s="32">
        <f t="shared" si="12"/>
        <v>0</v>
      </c>
      <c r="M62" s="32">
        <f t="shared" si="12"/>
        <v>0</v>
      </c>
      <c r="N62" s="32">
        <f t="shared" si="12"/>
        <v>0</v>
      </c>
      <c r="O62" s="32">
        <f t="shared" si="12"/>
        <v>0</v>
      </c>
      <c r="P62" s="32">
        <f t="shared" si="12"/>
        <v>0</v>
      </c>
      <c r="Q62" s="32">
        <f t="shared" si="12"/>
        <v>0</v>
      </c>
    </row>
    <row r="63" spans="1:17" x14ac:dyDescent="0.35">
      <c r="A63" s="50" t="s">
        <v>65</v>
      </c>
      <c r="B63" s="28">
        <v>24477</v>
      </c>
      <c r="C63" s="35">
        <v>9175523</v>
      </c>
      <c r="D63" s="46">
        <v>0</v>
      </c>
      <c r="E63" s="46">
        <v>0</v>
      </c>
      <c r="F63" s="46"/>
      <c r="G63" s="46"/>
      <c r="H63" s="38"/>
      <c r="I63" s="38"/>
      <c r="J63" s="38"/>
      <c r="K63" s="38"/>
      <c r="L63" s="29">
        <f t="shared" ref="L63:L73" si="13">SUM(D63:K63)</f>
        <v>0</v>
      </c>
      <c r="M63" s="16"/>
      <c r="N63" s="16"/>
      <c r="O63" s="16"/>
      <c r="P63" s="16"/>
      <c r="Q63" s="16"/>
    </row>
    <row r="64" spans="1:17" x14ac:dyDescent="0.35">
      <c r="A64" s="50" t="s">
        <v>66</v>
      </c>
      <c r="B64" s="29">
        <f t="shared" ref="B64:B73" si="14">SUM(D64:H64)</f>
        <v>0</v>
      </c>
      <c r="C64" s="35">
        <v>0</v>
      </c>
      <c r="D64" s="46">
        <v>0</v>
      </c>
      <c r="E64" s="46">
        <v>0</v>
      </c>
      <c r="F64" s="46"/>
      <c r="G64" s="46"/>
      <c r="H64" s="38"/>
      <c r="I64" s="38"/>
      <c r="J64" s="38"/>
      <c r="K64" s="38"/>
      <c r="L64" s="29">
        <f t="shared" si="13"/>
        <v>0</v>
      </c>
      <c r="M64" s="16"/>
      <c r="N64" s="16"/>
      <c r="O64" s="16"/>
      <c r="P64" s="16"/>
      <c r="Q64" s="16"/>
    </row>
    <row r="65" spans="1:17" x14ac:dyDescent="0.35">
      <c r="A65" s="50" t="s">
        <v>67</v>
      </c>
      <c r="B65" s="29">
        <f t="shared" si="14"/>
        <v>0</v>
      </c>
      <c r="C65" s="35">
        <v>0</v>
      </c>
      <c r="D65" s="46">
        <v>0</v>
      </c>
      <c r="E65" s="46">
        <v>0</v>
      </c>
      <c r="F65" s="46"/>
      <c r="G65" s="46"/>
      <c r="H65" s="38"/>
      <c r="I65" s="38"/>
      <c r="J65" s="38"/>
      <c r="K65" s="38"/>
      <c r="L65" s="29">
        <f t="shared" si="13"/>
        <v>0</v>
      </c>
      <c r="M65" s="16"/>
      <c r="N65" s="16"/>
      <c r="O65" s="16"/>
      <c r="P65" s="16"/>
      <c r="Q65" s="16"/>
    </row>
    <row r="66" spans="1:17" ht="42" x14ac:dyDescent="0.35">
      <c r="A66" s="50" t="s">
        <v>68</v>
      </c>
      <c r="B66" s="29">
        <f t="shared" si="14"/>
        <v>0</v>
      </c>
      <c r="C66" s="35">
        <v>0</v>
      </c>
      <c r="D66" s="46">
        <v>0</v>
      </c>
      <c r="E66" s="46">
        <v>0</v>
      </c>
      <c r="F66" s="46"/>
      <c r="G66" s="46"/>
      <c r="H66" s="38"/>
      <c r="I66" s="38"/>
      <c r="J66" s="38"/>
      <c r="K66" s="38"/>
      <c r="L66" s="29">
        <f t="shared" si="13"/>
        <v>0</v>
      </c>
      <c r="M66" s="16"/>
      <c r="N66" s="16"/>
      <c r="O66" s="16"/>
      <c r="P66" s="16"/>
      <c r="Q66" s="16"/>
    </row>
    <row r="67" spans="1:17" x14ac:dyDescent="0.35">
      <c r="A67" s="49" t="s">
        <v>69</v>
      </c>
      <c r="B67" s="29">
        <f ca="1">SUM(B67:B69)</f>
        <v>0</v>
      </c>
      <c r="C67" s="29">
        <f t="shared" ref="C67" si="15">SUM(E67:I67)</f>
        <v>0</v>
      </c>
      <c r="D67" s="29">
        <f t="shared" ref="D67" si="16">SUM(F67:J67)</f>
        <v>0</v>
      </c>
      <c r="E67" s="29">
        <f t="shared" ref="E67" si="17">SUM(G67:K67)</f>
        <v>0</v>
      </c>
      <c r="F67" s="29"/>
      <c r="G67" s="29"/>
      <c r="H67" s="29"/>
      <c r="I67" s="29"/>
      <c r="J67" s="29"/>
      <c r="K67" s="29"/>
      <c r="L67" s="29">
        <f t="shared" ref="L67" si="18">SUM(N67:R67)</f>
        <v>0</v>
      </c>
      <c r="M67" s="16"/>
      <c r="N67" s="16"/>
      <c r="O67" s="16"/>
      <c r="P67" s="16"/>
      <c r="Q67" s="16"/>
    </row>
    <row r="68" spans="1:17" x14ac:dyDescent="0.35">
      <c r="A68" s="50" t="s">
        <v>70</v>
      </c>
      <c r="B68" s="29">
        <f>SUM(D68:H68)</f>
        <v>0</v>
      </c>
      <c r="C68" s="35">
        <v>0</v>
      </c>
      <c r="D68" s="46">
        <v>0</v>
      </c>
      <c r="E68" s="46">
        <v>0</v>
      </c>
      <c r="F68" s="46"/>
      <c r="G68" s="46"/>
      <c r="H68" s="38"/>
      <c r="I68" s="38"/>
      <c r="J68" s="38"/>
      <c r="K68" s="38"/>
      <c r="L68" s="29">
        <f t="shared" si="13"/>
        <v>0</v>
      </c>
      <c r="M68" s="16"/>
      <c r="N68" s="16"/>
      <c r="O68" s="16"/>
      <c r="P68" s="16"/>
      <c r="Q68" s="16"/>
    </row>
    <row r="69" spans="1:17" x14ac:dyDescent="0.35">
      <c r="A69" s="50" t="s">
        <v>71</v>
      </c>
      <c r="B69" s="29">
        <f t="shared" si="14"/>
        <v>0</v>
      </c>
      <c r="C69" s="35">
        <v>0</v>
      </c>
      <c r="D69" s="46">
        <v>0</v>
      </c>
      <c r="E69" s="46">
        <v>0</v>
      </c>
      <c r="F69" s="46"/>
      <c r="G69" s="46"/>
      <c r="H69" s="38"/>
      <c r="I69" s="38"/>
      <c r="J69" s="38"/>
      <c r="K69" s="38"/>
      <c r="L69" s="29">
        <f t="shared" si="13"/>
        <v>0</v>
      </c>
      <c r="M69" s="16"/>
      <c r="N69" s="16"/>
      <c r="O69" s="16"/>
      <c r="P69" s="16"/>
      <c r="Q69" s="16"/>
    </row>
    <row r="70" spans="1:17" x14ac:dyDescent="0.35">
      <c r="A70" s="49" t="s">
        <v>72</v>
      </c>
      <c r="B70" s="29">
        <f t="shared" si="14"/>
        <v>0</v>
      </c>
      <c r="C70" s="35">
        <v>0</v>
      </c>
      <c r="D70" s="46">
        <v>0</v>
      </c>
      <c r="E70" s="46">
        <v>0</v>
      </c>
      <c r="F70" s="46"/>
      <c r="G70" s="46"/>
      <c r="H70" s="38"/>
      <c r="I70" s="38"/>
      <c r="J70" s="38"/>
      <c r="K70" s="38"/>
      <c r="L70" s="29">
        <f t="shared" si="13"/>
        <v>0</v>
      </c>
      <c r="M70" s="16"/>
      <c r="N70" s="16"/>
      <c r="O70" s="16"/>
      <c r="P70" s="16"/>
      <c r="Q70" s="16"/>
    </row>
    <row r="71" spans="1:17" x14ac:dyDescent="0.35">
      <c r="A71" s="50" t="s">
        <v>73</v>
      </c>
      <c r="B71" s="29">
        <f t="shared" si="14"/>
        <v>0</v>
      </c>
      <c r="C71" s="35">
        <v>0</v>
      </c>
      <c r="D71" s="46">
        <v>0</v>
      </c>
      <c r="E71" s="46">
        <v>0</v>
      </c>
      <c r="F71" s="46"/>
      <c r="G71" s="46"/>
      <c r="H71" s="38"/>
      <c r="I71" s="38"/>
      <c r="J71" s="38"/>
      <c r="K71" s="38"/>
      <c r="L71" s="29">
        <f t="shared" si="13"/>
        <v>0</v>
      </c>
      <c r="M71" s="16"/>
      <c r="N71" s="16"/>
      <c r="O71" s="16"/>
      <c r="P71" s="16"/>
      <c r="Q71" s="16"/>
    </row>
    <row r="72" spans="1:17" x14ac:dyDescent="0.35">
      <c r="A72" s="50" t="s">
        <v>74</v>
      </c>
      <c r="B72" s="29">
        <f t="shared" si="14"/>
        <v>0</v>
      </c>
      <c r="C72" s="35">
        <v>0</v>
      </c>
      <c r="D72" s="46">
        <v>0</v>
      </c>
      <c r="E72" s="46">
        <v>0</v>
      </c>
      <c r="F72" s="46"/>
      <c r="G72" s="46"/>
      <c r="H72" s="38"/>
      <c r="I72" s="38"/>
      <c r="J72" s="38"/>
      <c r="K72" s="38"/>
      <c r="L72" s="29">
        <f t="shared" si="13"/>
        <v>0</v>
      </c>
      <c r="M72" s="16"/>
      <c r="N72" s="16"/>
      <c r="O72" s="16"/>
      <c r="P72" s="16"/>
      <c r="Q72" s="16"/>
    </row>
    <row r="73" spans="1:17" ht="21.75" thickBot="1" x14ac:dyDescent="0.4">
      <c r="A73" s="59" t="s">
        <v>75</v>
      </c>
      <c r="B73" s="60">
        <f t="shared" si="14"/>
        <v>0</v>
      </c>
      <c r="C73" s="61">
        <v>0</v>
      </c>
      <c r="D73" s="56">
        <v>0</v>
      </c>
      <c r="E73" s="56">
        <v>0</v>
      </c>
      <c r="F73" s="56"/>
      <c r="G73" s="56"/>
      <c r="H73" s="57"/>
      <c r="I73" s="57"/>
      <c r="J73" s="57"/>
      <c r="K73" s="38"/>
      <c r="L73" s="29">
        <f t="shared" si="13"/>
        <v>0</v>
      </c>
      <c r="M73" s="16"/>
      <c r="N73" s="16"/>
      <c r="O73" s="16"/>
      <c r="P73" s="16"/>
      <c r="Q73" s="16"/>
    </row>
    <row r="74" spans="1:17" s="11" customFormat="1" ht="21.75" thickBot="1" x14ac:dyDescent="0.4">
      <c r="A74" s="42" t="s">
        <v>76</v>
      </c>
      <c r="B74" s="43">
        <f t="shared" ref="B74:J74" ca="1" si="19">+B67+B62+B52+B45+B37+B27+B16+B8</f>
        <v>179756600</v>
      </c>
      <c r="C74" s="44">
        <f t="shared" si="19"/>
        <v>-966466</v>
      </c>
      <c r="D74" s="43">
        <f t="shared" si="19"/>
        <v>7190719.1400000006</v>
      </c>
      <c r="E74" s="43">
        <f>+E67+E62+E52+E45+E37+E27+E16+E8</f>
        <v>8707304.2400000002</v>
      </c>
      <c r="F74" s="43">
        <f>+F67+F62+F52+F45+F37+F27+F16+F8</f>
        <v>10118668.800000001</v>
      </c>
      <c r="G74" s="43">
        <f>+G67+G62+G52+G45+G37+G27+G16+G8</f>
        <v>8891987.4699999988</v>
      </c>
      <c r="H74" s="45">
        <f>+H67+H62+H52+H45+H37+H27+H16+H8</f>
        <v>14663808.100000001</v>
      </c>
      <c r="I74" s="45">
        <f>+I67+I62+I52+I45+I37+I27+I16+I8</f>
        <v>9798934.8399999999</v>
      </c>
      <c r="J74" s="45">
        <f t="shared" si="19"/>
        <v>10790483.949999999</v>
      </c>
      <c r="K74" s="45">
        <f>+K67+K62+K52+K45+K37+K27+K16+K8</f>
        <v>11060188.359999999</v>
      </c>
      <c r="L74" s="45">
        <f>+L67+L62+L52+L45+L37+L27+L16+L8</f>
        <v>81222094.900000006</v>
      </c>
      <c r="M74" s="21"/>
      <c r="N74" s="21"/>
      <c r="O74" s="21"/>
      <c r="P74" s="21"/>
      <c r="Q74" s="21"/>
    </row>
    <row r="75" spans="1:17" x14ac:dyDescent="0.35">
      <c r="A75" s="50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38"/>
      <c r="M75" s="17"/>
      <c r="N75" s="17"/>
      <c r="O75" s="17"/>
      <c r="P75" s="17"/>
      <c r="Q75" s="17"/>
    </row>
    <row r="76" spans="1:17" x14ac:dyDescent="0.35">
      <c r="A76" s="48" t="s">
        <v>77</v>
      </c>
      <c r="B76" s="6"/>
      <c r="C76" s="6"/>
      <c r="D76" s="12"/>
      <c r="E76" s="12"/>
      <c r="F76" s="12"/>
      <c r="G76" s="12"/>
      <c r="H76" s="12"/>
      <c r="I76" s="12"/>
      <c r="J76" s="12"/>
      <c r="K76" s="12"/>
      <c r="L76" s="52"/>
      <c r="M76" s="12"/>
      <c r="N76" s="12"/>
      <c r="O76" s="12"/>
      <c r="P76" s="12"/>
      <c r="Q76" s="12"/>
    </row>
    <row r="77" spans="1:17" x14ac:dyDescent="0.35">
      <c r="A77" s="48" t="s">
        <v>78</v>
      </c>
      <c r="B77" s="13"/>
      <c r="C77" s="13"/>
      <c r="D77" s="7"/>
      <c r="E77" s="7"/>
      <c r="F77" s="7"/>
      <c r="G77" s="7"/>
      <c r="H77" s="7"/>
      <c r="I77" s="7"/>
      <c r="J77" s="7"/>
      <c r="K77" s="7"/>
      <c r="L77" s="54"/>
      <c r="M77" s="7"/>
      <c r="N77" s="7"/>
      <c r="O77" s="7"/>
      <c r="P77" s="7"/>
      <c r="Q77" s="7"/>
    </row>
    <row r="78" spans="1:17" x14ac:dyDescent="0.35">
      <c r="A78" s="53" t="s">
        <v>79</v>
      </c>
      <c r="B78" s="19"/>
      <c r="C78" s="19"/>
      <c r="D78" s="7"/>
      <c r="E78" s="7"/>
      <c r="F78" s="7"/>
      <c r="G78" s="7"/>
      <c r="H78" s="7"/>
      <c r="I78" s="7"/>
      <c r="J78" s="7"/>
      <c r="K78" s="7"/>
      <c r="L78" s="54"/>
      <c r="M78" s="7"/>
      <c r="N78" s="7"/>
      <c r="O78" s="7"/>
      <c r="P78" s="7"/>
      <c r="Q78" s="7"/>
    </row>
    <row r="79" spans="1:17" x14ac:dyDescent="0.35">
      <c r="A79" s="53" t="s">
        <v>80</v>
      </c>
      <c r="B79" s="19"/>
      <c r="C79" s="19"/>
      <c r="D79" s="7"/>
      <c r="E79" s="7"/>
      <c r="F79" s="7"/>
      <c r="G79" s="7"/>
      <c r="H79" s="7"/>
      <c r="I79" s="7"/>
      <c r="J79" s="7"/>
      <c r="K79" s="7"/>
      <c r="L79" s="54"/>
      <c r="M79" s="7"/>
      <c r="N79" s="7"/>
      <c r="O79" s="7"/>
      <c r="P79" s="7"/>
      <c r="Q79" s="7"/>
    </row>
    <row r="80" spans="1:17" x14ac:dyDescent="0.35">
      <c r="A80" s="48" t="s">
        <v>81</v>
      </c>
      <c r="B80" s="6"/>
      <c r="C80" s="6"/>
      <c r="D80" s="7"/>
      <c r="E80" s="7"/>
      <c r="F80" s="7"/>
      <c r="G80" s="7"/>
      <c r="H80" s="7"/>
      <c r="I80" s="7"/>
      <c r="J80" s="7"/>
      <c r="K80" s="7"/>
      <c r="L80" s="54"/>
      <c r="M80" s="7"/>
      <c r="N80" s="7"/>
      <c r="O80" s="7"/>
      <c r="P80" s="7"/>
      <c r="Q80" s="7"/>
    </row>
    <row r="81" spans="1:17" x14ac:dyDescent="0.35">
      <c r="A81" s="53" t="s">
        <v>82</v>
      </c>
      <c r="B81" s="19"/>
      <c r="C81" s="19"/>
      <c r="D81" s="7"/>
      <c r="E81" s="7"/>
      <c r="F81" s="7"/>
      <c r="G81" s="7"/>
      <c r="H81" s="7"/>
      <c r="I81" s="7"/>
      <c r="J81" s="7"/>
      <c r="K81" s="7"/>
      <c r="L81" s="54"/>
      <c r="M81" s="7"/>
      <c r="N81" s="7"/>
      <c r="O81" s="7"/>
      <c r="P81" s="7"/>
      <c r="Q81" s="7"/>
    </row>
    <row r="82" spans="1:17" x14ac:dyDescent="0.35">
      <c r="A82" s="53" t="s">
        <v>83</v>
      </c>
      <c r="B82" s="19"/>
      <c r="C82" s="19"/>
      <c r="D82" s="7"/>
      <c r="E82" s="7"/>
      <c r="F82" s="7"/>
      <c r="G82" s="7"/>
      <c r="H82" s="7"/>
      <c r="I82" s="7"/>
      <c r="J82" s="7"/>
      <c r="K82" s="7"/>
      <c r="L82" s="54"/>
      <c r="M82" s="7"/>
      <c r="N82" s="7"/>
      <c r="O82" s="7"/>
      <c r="P82" s="7"/>
      <c r="Q82" s="7"/>
    </row>
    <row r="83" spans="1:17" x14ac:dyDescent="0.35">
      <c r="A83" s="48" t="s">
        <v>84</v>
      </c>
      <c r="B83" s="6"/>
      <c r="C83" s="6"/>
      <c r="D83" s="7"/>
      <c r="E83" s="7"/>
      <c r="F83" s="7"/>
      <c r="G83" s="7"/>
      <c r="H83" s="7"/>
      <c r="I83" s="7"/>
      <c r="J83" s="7"/>
      <c r="K83" s="7"/>
      <c r="L83" s="54"/>
      <c r="M83" s="7"/>
      <c r="N83" s="7"/>
      <c r="O83" s="7"/>
      <c r="P83" s="7"/>
      <c r="Q83" s="7"/>
    </row>
    <row r="84" spans="1:17" ht="21.75" thickBot="1" x14ac:dyDescent="0.4">
      <c r="A84" s="53" t="s">
        <v>85</v>
      </c>
      <c r="B84" s="19"/>
      <c r="C84" s="19"/>
      <c r="D84" s="1"/>
      <c r="E84" s="11"/>
      <c r="F84" s="11"/>
      <c r="G84" s="7"/>
      <c r="H84" s="1"/>
      <c r="I84" s="1"/>
      <c r="J84" s="1"/>
      <c r="K84" s="1"/>
      <c r="L84" s="55"/>
      <c r="M84" s="1"/>
      <c r="N84" s="7"/>
      <c r="O84" s="7"/>
      <c r="P84" s="7"/>
      <c r="Q84" s="7"/>
    </row>
    <row r="85" spans="1:17" ht="21.75" thickBot="1" x14ac:dyDescent="0.4">
      <c r="A85" s="42" t="s">
        <v>86</v>
      </c>
      <c r="B85" s="43">
        <f ca="1">+B74</f>
        <v>179756600</v>
      </c>
      <c r="C85" s="43">
        <f t="shared" ref="C85" si="20">+C74</f>
        <v>-966466</v>
      </c>
      <c r="D85" s="43">
        <f t="shared" ref="D85:L85" si="21">+D74</f>
        <v>7190719.1400000006</v>
      </c>
      <c r="E85" s="43">
        <f t="shared" si="21"/>
        <v>8707304.2400000002</v>
      </c>
      <c r="F85" s="43">
        <f t="shared" si="21"/>
        <v>10118668.800000001</v>
      </c>
      <c r="G85" s="43">
        <f t="shared" si="21"/>
        <v>8891987.4699999988</v>
      </c>
      <c r="H85" s="43">
        <f t="shared" si="21"/>
        <v>14663808.100000001</v>
      </c>
      <c r="I85" s="43">
        <f t="shared" si="21"/>
        <v>9798934.8399999999</v>
      </c>
      <c r="J85" s="43">
        <f t="shared" si="21"/>
        <v>10790483.949999999</v>
      </c>
      <c r="K85" s="43">
        <f t="shared" si="21"/>
        <v>11060188.359999999</v>
      </c>
      <c r="L85" s="43">
        <f t="shared" si="21"/>
        <v>81222094.900000006</v>
      </c>
      <c r="M85" s="1"/>
      <c r="N85" s="20"/>
      <c r="O85" s="20"/>
      <c r="P85" s="20"/>
      <c r="Q85" s="20"/>
    </row>
    <row r="86" spans="1:17" customFormat="1" ht="19.5" customHeight="1" x14ac:dyDescent="0.25">
      <c r="A86" s="64" t="s">
        <v>102</v>
      </c>
      <c r="M86" s="13"/>
    </row>
    <row r="87" spans="1:17" customFormat="1" ht="23.25" x14ac:dyDescent="0.35">
      <c r="A87" s="63" t="s">
        <v>1</v>
      </c>
      <c r="K87" s="22"/>
    </row>
    <row r="88" spans="1:17" customFormat="1" ht="20.25" customHeight="1" x14ac:dyDescent="0.35">
      <c r="A88" s="63" t="s">
        <v>103</v>
      </c>
      <c r="K88" s="25"/>
    </row>
    <row r="89" spans="1:17" customFormat="1" ht="20.25" customHeight="1" x14ac:dyDescent="0.25">
      <c r="A89" s="63" t="s">
        <v>106</v>
      </c>
    </row>
    <row r="90" spans="1:17" customFormat="1" ht="20.25" customHeight="1" x14ac:dyDescent="0.25">
      <c r="A90" s="63" t="s">
        <v>107</v>
      </c>
    </row>
    <row r="91" spans="1:17" customFormat="1" ht="20.25" customHeight="1" x14ac:dyDescent="0.35">
      <c r="A91" s="63" t="s">
        <v>5</v>
      </c>
      <c r="K91" s="22"/>
    </row>
    <row r="92" spans="1:17" customFormat="1" ht="20.25" customHeight="1" x14ac:dyDescent="0.35">
      <c r="A92" s="63" t="s">
        <v>105</v>
      </c>
      <c r="K92" s="22"/>
    </row>
    <row r="93" spans="1:17" ht="23.25" x14ac:dyDescent="0.35">
      <c r="B93" s="69"/>
      <c r="C93" s="69"/>
      <c r="D93" s="69"/>
      <c r="E93" s="23"/>
      <c r="F93" s="23"/>
      <c r="G93" s="22"/>
      <c r="H93" s="69"/>
      <c r="I93" s="69"/>
      <c r="J93" s="69"/>
      <c r="K93" s="69"/>
      <c r="L93" s="69"/>
      <c r="M93" s="1"/>
      <c r="N93" s="7"/>
      <c r="O93" s="7"/>
      <c r="P93" s="7"/>
      <c r="Q93" s="7"/>
    </row>
    <row r="94" spans="1:17" ht="23.25" x14ac:dyDescent="0.35">
      <c r="B94" s="22"/>
      <c r="C94" s="22"/>
      <c r="D94" s="23"/>
      <c r="E94" s="23"/>
      <c r="F94" s="23"/>
      <c r="G94" s="22"/>
      <c r="H94" s="22"/>
      <c r="I94" s="22"/>
      <c r="J94" s="22"/>
      <c r="K94" s="22"/>
      <c r="L94" s="23"/>
      <c r="M94" s="1"/>
    </row>
    <row r="95" spans="1:17" ht="23.25" x14ac:dyDescent="0.35">
      <c r="B95" s="22"/>
      <c r="C95" s="22"/>
      <c r="D95" s="23"/>
      <c r="E95" s="23"/>
      <c r="F95" s="23"/>
      <c r="G95" s="24"/>
      <c r="H95" s="25"/>
      <c r="I95" s="25"/>
      <c r="J95" s="25"/>
      <c r="K95" s="22"/>
      <c r="L95" s="25"/>
      <c r="M95" s="1"/>
    </row>
    <row r="96" spans="1:17" ht="23.25" x14ac:dyDescent="0.35">
      <c r="B96" s="73"/>
      <c r="C96" s="73"/>
      <c r="D96" s="73"/>
      <c r="E96" s="23"/>
      <c r="F96" s="23"/>
      <c r="G96" s="22"/>
      <c r="H96" s="73"/>
      <c r="I96" s="73"/>
      <c r="J96" s="73"/>
      <c r="K96" s="73"/>
      <c r="L96" s="73"/>
      <c r="M96" s="1"/>
    </row>
    <row r="97" spans="2:12" ht="23.25" x14ac:dyDescent="0.35">
      <c r="B97" s="73"/>
      <c r="C97" s="73"/>
      <c r="D97" s="73"/>
      <c r="E97" s="22"/>
      <c r="F97" s="22"/>
      <c r="G97" s="22"/>
      <c r="H97" s="73"/>
      <c r="I97" s="73"/>
      <c r="J97" s="73"/>
      <c r="K97" s="73"/>
      <c r="L97" s="73"/>
    </row>
    <row r="98" spans="2:12" ht="23.25" x14ac:dyDescent="0.35">
      <c r="B98" s="22"/>
      <c r="C98" s="22"/>
      <c r="D98" s="22"/>
      <c r="E98" s="22"/>
      <c r="F98" s="22"/>
      <c r="G98" s="22"/>
      <c r="H98" s="22"/>
      <c r="I98" s="22"/>
      <c r="J98" s="22"/>
      <c r="K98" s="58"/>
      <c r="L98" s="22"/>
    </row>
    <row r="99" spans="2:12" ht="23.25" x14ac:dyDescent="0.35">
      <c r="B99" s="22"/>
      <c r="C99" s="22"/>
      <c r="D99" s="22"/>
      <c r="E99" s="22"/>
      <c r="F99" s="22"/>
      <c r="G99" s="22"/>
      <c r="H99" s="22"/>
      <c r="I99" s="22"/>
      <c r="J99" s="22"/>
      <c r="L99" s="22"/>
    </row>
    <row r="100" spans="2:12" ht="23.25" x14ac:dyDescent="0.35">
      <c r="B100" s="22"/>
      <c r="C100" s="22"/>
      <c r="D100" s="22"/>
      <c r="E100" s="69"/>
      <c r="F100" s="69"/>
      <c r="G100" s="69"/>
      <c r="H100" s="22"/>
      <c r="I100" s="22"/>
      <c r="J100" s="22"/>
      <c r="L100" s="22"/>
    </row>
    <row r="101" spans="2:12" ht="23.25" x14ac:dyDescent="0.35">
      <c r="B101" s="22"/>
      <c r="C101" s="22"/>
      <c r="D101" s="22"/>
      <c r="E101" s="22"/>
      <c r="F101" s="23"/>
      <c r="G101" s="23"/>
      <c r="H101" s="22"/>
      <c r="I101" s="22"/>
      <c r="J101" s="22"/>
      <c r="L101" s="22"/>
    </row>
    <row r="102" spans="2:12" ht="23.25" x14ac:dyDescent="0.35">
      <c r="B102" s="22"/>
      <c r="C102" s="22"/>
      <c r="D102" s="22"/>
      <c r="E102" s="22"/>
      <c r="F102" s="23"/>
      <c r="G102" s="23"/>
      <c r="H102" s="22"/>
      <c r="I102" s="22"/>
      <c r="J102" s="22"/>
      <c r="L102" s="22"/>
    </row>
    <row r="103" spans="2:12" ht="23.25" x14ac:dyDescent="0.35">
      <c r="B103" s="22"/>
      <c r="C103" s="22"/>
      <c r="D103" s="22"/>
      <c r="E103" s="73"/>
      <c r="F103" s="73"/>
      <c r="G103" s="73"/>
      <c r="H103" s="22"/>
      <c r="I103" s="22"/>
      <c r="J103" s="22"/>
      <c r="L103" s="22"/>
    </row>
    <row r="104" spans="2:12" ht="23.25" x14ac:dyDescent="0.35">
      <c r="B104" s="22"/>
      <c r="C104" s="22"/>
      <c r="D104" s="22"/>
      <c r="E104" s="73"/>
      <c r="F104" s="73"/>
      <c r="G104" s="73"/>
      <c r="H104" s="22"/>
      <c r="I104" s="22"/>
      <c r="J104" s="22"/>
      <c r="L104" s="22"/>
    </row>
    <row r="105" spans="2:12" ht="23.25" x14ac:dyDescent="0.35">
      <c r="B105" s="22"/>
      <c r="C105" s="22"/>
      <c r="D105" s="74"/>
      <c r="E105" s="74"/>
      <c r="F105" s="74"/>
      <c r="G105" s="74"/>
      <c r="H105" s="74"/>
      <c r="I105" s="58"/>
      <c r="J105" s="58"/>
      <c r="L105" s="22"/>
    </row>
  </sheetData>
  <mergeCells count="14">
    <mergeCell ref="E104:G104"/>
    <mergeCell ref="D105:H105"/>
    <mergeCell ref="B96:D96"/>
    <mergeCell ref="H96:L96"/>
    <mergeCell ref="B97:D97"/>
    <mergeCell ref="H97:L97"/>
    <mergeCell ref="E100:G100"/>
    <mergeCell ref="E103:G103"/>
    <mergeCell ref="A1:Q1"/>
    <mergeCell ref="A2:Q2"/>
    <mergeCell ref="A3:Q3"/>
    <mergeCell ref="B93:D93"/>
    <mergeCell ref="H93:L93"/>
    <mergeCell ref="D5:K5"/>
  </mergeCells>
  <printOptions horizontalCentered="1"/>
  <pageMargins left="0.52" right="0.5" top="0.75" bottom="0.75" header="0.3" footer="0.3"/>
  <pageSetup scale="38" orientation="landscape" r:id="rId1"/>
  <rowBreaks count="1" manualBreakCount="1">
    <brk id="58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2022-09-02T16:03:56Z</cp:lastPrinted>
  <dcterms:created xsi:type="dcterms:W3CDTF">2022-06-01T19:16:27Z</dcterms:created>
  <dcterms:modified xsi:type="dcterms:W3CDTF">2022-09-14T17:39:34Z</dcterms:modified>
</cp:coreProperties>
</file>