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9. Septiembre 2022/"/>
    </mc:Choice>
  </mc:AlternateContent>
  <xr:revisionPtr revIDLastSave="304" documentId="13_ncr:1_{11C33AE5-66CF-445E-A007-E63E71D9497A}" xr6:coauthVersionLast="47" xr6:coauthVersionMax="47" xr10:uidLastSave="{0CFC9894-8A0D-46CC-B033-0806B86C681E}"/>
  <bookViews>
    <workbookView xWindow="-120" yWindow="-120" windowWidth="29040" windowHeight="15840" xr2:uid="{348ECAEC-6BD2-4DA2-BCE0-284A39D238B2}"/>
  </bookViews>
  <sheets>
    <sheet name="Ejecución Presupuestaria " sheetId="4" r:id="rId1"/>
    <sheet name="Hoja2" sheetId="6" r:id="rId2"/>
  </sheets>
  <definedNames>
    <definedName name="_xlnm.Print_Area" localSheetId="0">'Ejecución Presupuestaria '!$A$1:$Q$100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" i="4" l="1"/>
  <c r="P58" i="4"/>
  <c r="P63" i="4"/>
  <c r="P64" i="4"/>
  <c r="P65" i="4"/>
  <c r="P66" i="4"/>
  <c r="P67" i="4"/>
  <c r="P70" i="4"/>
  <c r="P69" i="4"/>
  <c r="P68" i="4"/>
  <c r="P62" i="4"/>
  <c r="P61" i="4"/>
  <c r="P60" i="4"/>
  <c r="P51" i="4"/>
  <c r="P52" i="4"/>
  <c r="P53" i="4"/>
  <c r="P54" i="4"/>
  <c r="P55" i="4"/>
  <c r="P56" i="4"/>
  <c r="P57" i="4"/>
  <c r="P50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35" i="4"/>
  <c r="P26" i="4"/>
  <c r="P27" i="4"/>
  <c r="P28" i="4"/>
  <c r="P29" i="4"/>
  <c r="P30" i="4"/>
  <c r="P31" i="4"/>
  <c r="P32" i="4"/>
  <c r="P33" i="4"/>
  <c r="P25" i="4"/>
  <c r="P24" i="4"/>
  <c r="P16" i="4"/>
  <c r="P17" i="4"/>
  <c r="P18" i="4"/>
  <c r="P19" i="4"/>
  <c r="P20" i="4"/>
  <c r="P21" i="4"/>
  <c r="P22" i="4"/>
  <c r="P23" i="4"/>
  <c r="P15" i="4"/>
  <c r="P14" i="4"/>
  <c r="P10" i="4"/>
  <c r="P8" i="4" s="1"/>
  <c r="P11" i="4"/>
  <c r="P12" i="4"/>
  <c r="P13" i="4"/>
  <c r="P9" i="4"/>
  <c r="L9" i="4"/>
  <c r="L7" i="4"/>
  <c r="K7" i="4"/>
  <c r="M71" i="4"/>
  <c r="N71" i="4"/>
  <c r="O71" i="4"/>
  <c r="L71" i="4"/>
  <c r="L21" i="4"/>
  <c r="L13" i="4"/>
  <c r="L33" i="4"/>
  <c r="L22" i="4"/>
  <c r="L16" i="4"/>
  <c r="L27" i="4"/>
  <c r="L25" i="4"/>
  <c r="L19" i="4"/>
  <c r="L15" i="4"/>
  <c r="L11" i="4"/>
  <c r="L10" i="4"/>
  <c r="P34" i="4" l="1"/>
  <c r="B65" i="4" l="1"/>
  <c r="K34" i="4"/>
  <c r="K49" i="4"/>
  <c r="K31" i="4"/>
  <c r="K22" i="4"/>
  <c r="K21" i="4"/>
  <c r="K16" i="4"/>
  <c r="K13" i="4"/>
  <c r="K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U14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U8" i="4"/>
  <c r="O8" i="4"/>
  <c r="N8" i="4"/>
  <c r="M8" i="4"/>
  <c r="L8" i="4"/>
  <c r="C8" i="4"/>
  <c r="B8" i="4"/>
  <c r="K71" i="4" l="1"/>
  <c r="K82" i="4" s="1"/>
  <c r="M82" i="4"/>
  <c r="N82" i="4"/>
  <c r="O82" i="4"/>
  <c r="L82" i="4"/>
  <c r="H8" i="4"/>
  <c r="E14" i="4"/>
  <c r="D8" i="4"/>
  <c r="D7" i="4" s="1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" i="4"/>
  <c r="P71" i="4"/>
  <c r="P82" i="4" s="1"/>
  <c r="B82" i="4"/>
  <c r="B71" i="4"/>
  <c r="B64" i="4"/>
</calcChain>
</file>

<file path=xl/sharedStrings.xml><?xml version="1.0" encoding="utf-8"?>
<sst xmlns="http://schemas.openxmlformats.org/spreadsheetml/2006/main" count="108" uniqueCount="108">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</sst>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164" fontId="4" fillId="0" borderId="13" xfId="1" applyFont="1" applyFill="1" applyBorder="1"/>
    <xf numFmtId="164" fontId="3" fillId="0" borderId="13" xfId="1" applyFont="1" applyBorder="1"/>
    <xf numFmtId="164" fontId="5" fillId="0" borderId="13" xfId="1" applyFont="1" applyFill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/>
    <xf numFmtId="164" fontId="3" fillId="0" borderId="8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vertical="center"/>
    </xf>
    <xf numFmtId="0" fontId="2" fillId="0" borderId="14" xfId="0" applyFont="1" applyBorder="1" applyAlignment="1">
      <alignment wrapText="1"/>
    </xf>
    <xf numFmtId="164" fontId="2" fillId="0" borderId="14" xfId="1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16</xdr:col>
      <xdr:colOff>190499</xdr:colOff>
      <xdr:row>24</xdr:row>
      <xdr:rowOff>9685</xdr:rowOff>
    </xdr:to>
    <xdr:pic>
      <xdr:nvPicPr>
        <xdr:cNvPr id="2" name="Imagen 1" descr="jkjn.hk">
          <a:extLst>
            <a:ext uri="{FF2B5EF4-FFF2-40B4-BE49-F238E27FC236}">
              <a16:creationId xmlns:a16="http://schemas.microsoft.com/office/drawing/2014/main" id="{C561F1B3-5593-4B6D-87C4-B4A015D6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"/>
          <a:ext cx="12382499" cy="392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U100"/>
  <sheetViews>
    <sheetView showGridLines="0" tabSelected="1" view="pageBreakPreview" zoomScale="70" zoomScaleNormal="70" zoomScaleSheetLayoutView="70" workbookViewId="0">
      <pane ySplit="1" topLeftCell="A34" activePane="bottomLeft" state="frozen"/>
      <selection pane="bottomLeft" activeCell="A41" sqref="A41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2.140625" style="2" hidden="1" customWidth="1"/>
    <col min="14" max="14" width="16.28515625" style="2" hidden="1" customWidth="1"/>
    <col min="15" max="15" width="16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x14ac:dyDescent="0.35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1" x14ac:dyDescent="0.3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52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65" t="s">
        <v>101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</row>
    <row r="6" spans="1:21" ht="42.75" thickBot="1" x14ac:dyDescent="0.4">
      <c r="A6" s="40" t="s">
        <v>4</v>
      </c>
      <c r="B6" s="28" t="s">
        <v>5</v>
      </c>
      <c r="C6" s="29" t="s">
        <v>6</v>
      </c>
      <c r="D6" s="28" t="s">
        <v>84</v>
      </c>
      <c r="E6" s="28" t="s">
        <v>85</v>
      </c>
      <c r="F6" s="28" t="s">
        <v>86</v>
      </c>
      <c r="G6" s="28" t="s">
        <v>87</v>
      </c>
      <c r="H6" s="28" t="s">
        <v>88</v>
      </c>
      <c r="I6" s="28" t="s">
        <v>94</v>
      </c>
      <c r="J6" s="28" t="s">
        <v>95</v>
      </c>
      <c r="K6" s="28" t="s">
        <v>89</v>
      </c>
      <c r="L6" s="28" t="s">
        <v>90</v>
      </c>
      <c r="M6" s="28" t="s">
        <v>91</v>
      </c>
      <c r="N6" s="28" t="s">
        <v>92</v>
      </c>
      <c r="O6" s="28" t="s">
        <v>93</v>
      </c>
      <c r="P6" s="30" t="s">
        <v>83</v>
      </c>
    </row>
    <row r="7" spans="1:21" x14ac:dyDescent="0.35">
      <c r="A7" s="73" t="s">
        <v>7</v>
      </c>
      <c r="B7" s="51">
        <f t="shared" ref="B7:P7" si="0">+B8+B14+B24+B34+B42+B49+B59</f>
        <v>179756600</v>
      </c>
      <c r="C7" s="74">
        <f t="shared" si="0"/>
        <v>-1867465</v>
      </c>
      <c r="D7" s="51">
        <f t="shared" si="0"/>
        <v>7190719.1400000006</v>
      </c>
      <c r="E7" s="51">
        <f t="shared" si="0"/>
        <v>8707304.2400000002</v>
      </c>
      <c r="F7" s="51">
        <f t="shared" si="0"/>
        <v>10118668.800000001</v>
      </c>
      <c r="G7" s="51">
        <f t="shared" si="0"/>
        <v>8891987.4699999988</v>
      </c>
      <c r="H7" s="56">
        <f t="shared" si="0"/>
        <v>14663808.100000001</v>
      </c>
      <c r="I7" s="56">
        <f t="shared" si="0"/>
        <v>9798934.8400000017</v>
      </c>
      <c r="J7" s="56">
        <f t="shared" si="0"/>
        <v>10790483.949999999</v>
      </c>
      <c r="K7" s="56">
        <f t="shared" si="0"/>
        <v>11060188.359999999</v>
      </c>
      <c r="L7" s="51">
        <f t="shared" si="0"/>
        <v>9370469.3199999984</v>
      </c>
      <c r="M7" s="51">
        <f t="shared" si="0"/>
        <v>0</v>
      </c>
      <c r="N7" s="51">
        <f t="shared" si="0"/>
        <v>0</v>
      </c>
      <c r="O7" s="56">
        <f t="shared" si="0"/>
        <v>0</v>
      </c>
      <c r="P7" s="51">
        <f t="shared" si="0"/>
        <v>90592564.219999984</v>
      </c>
      <c r="Q7" s="70"/>
    </row>
    <row r="8" spans="1:21" x14ac:dyDescent="0.35">
      <c r="A8" s="38" t="s">
        <v>8</v>
      </c>
      <c r="B8" s="17">
        <f t="shared" ref="B8:P8" si="1">SUM(B9:B13)</f>
        <v>131801321</v>
      </c>
      <c r="C8" s="23">
        <f t="shared" si="1"/>
        <v>0</v>
      </c>
      <c r="D8" s="17">
        <f t="shared" si="1"/>
        <v>7190719.1400000006</v>
      </c>
      <c r="E8" s="17">
        <f t="shared" si="1"/>
        <v>7563636.4400000004</v>
      </c>
      <c r="F8" s="17">
        <f t="shared" si="1"/>
        <v>7318448.6699999999</v>
      </c>
      <c r="G8" s="17">
        <f t="shared" si="1"/>
        <v>7535315.0099999998</v>
      </c>
      <c r="H8" s="26">
        <f t="shared" si="1"/>
        <v>12619311.350000001</v>
      </c>
      <c r="I8" s="26">
        <f t="shared" si="1"/>
        <v>8354374.3000000007</v>
      </c>
      <c r="J8" s="26">
        <f t="shared" si="1"/>
        <v>7720736.5899999999</v>
      </c>
      <c r="K8" s="26">
        <f t="shared" si="1"/>
        <v>8207587.8700000001</v>
      </c>
      <c r="L8" s="17">
        <f t="shared" si="1"/>
        <v>7910259.6199999992</v>
      </c>
      <c r="M8" s="17">
        <f t="shared" si="1"/>
        <v>0</v>
      </c>
      <c r="N8" s="17">
        <f t="shared" si="1"/>
        <v>0</v>
      </c>
      <c r="O8" s="26">
        <f t="shared" si="1"/>
        <v>0</v>
      </c>
      <c r="P8" s="17">
        <f t="shared" si="1"/>
        <v>74420388.989999995</v>
      </c>
      <c r="Q8" s="70"/>
      <c r="U8" s="9">
        <f>SUM(U9:U13)</f>
        <v>0</v>
      </c>
    </row>
    <row r="9" spans="1:21" x14ac:dyDescent="0.35">
      <c r="A9" s="39" t="s">
        <v>9</v>
      </c>
      <c r="B9" s="18">
        <v>100948606</v>
      </c>
      <c r="C9" s="24"/>
      <c r="D9" s="19">
        <f>3486254.58+2253300+438100</f>
        <v>6177654.5800000001</v>
      </c>
      <c r="E9" s="35">
        <f>3634850.04+2412965.29+438100</f>
        <v>6485915.3300000001</v>
      </c>
      <c r="F9" s="35">
        <f>3454654.58+2375800+438100</f>
        <v>6268554.5800000001</v>
      </c>
      <c r="G9" s="35">
        <f>3561521.24+2459300+438100</f>
        <v>6458921.2400000002</v>
      </c>
      <c r="H9" s="27">
        <f>4204646.5+2312300+438100</f>
        <v>6955046.5</v>
      </c>
      <c r="I9" s="27">
        <f>3874654.58+2498966.67+438100</f>
        <v>6811721.25</v>
      </c>
      <c r="J9" s="27">
        <f>3798787.5+2342300+503100</f>
        <v>6644187.5</v>
      </c>
      <c r="K9" s="27">
        <f>4522039.8+2237687.5+299300</f>
        <v>7059027.2999999998</v>
      </c>
      <c r="L9" s="35">
        <f>4521133.34+1969354.17+299300</f>
        <v>6789787.5099999998</v>
      </c>
      <c r="M9" s="35"/>
      <c r="N9" s="35"/>
      <c r="O9" s="27"/>
      <c r="P9" s="19">
        <f>SUM(D9:L9)</f>
        <v>59650815.789999999</v>
      </c>
      <c r="Q9" s="70"/>
    </row>
    <row r="10" spans="1:21" x14ac:dyDescent="0.35">
      <c r="A10" s="39" t="s">
        <v>10</v>
      </c>
      <c r="B10" s="18">
        <v>16768402</v>
      </c>
      <c r="C10" s="25"/>
      <c r="D10" s="19">
        <v>95000</v>
      </c>
      <c r="E10" s="35">
        <v>95000</v>
      </c>
      <c r="F10" s="35">
        <v>95000</v>
      </c>
      <c r="G10" s="35">
        <v>95000</v>
      </c>
      <c r="H10" s="27">
        <f>2663573.61+1576861.12+405100</f>
        <v>4645534.7300000004</v>
      </c>
      <c r="I10" s="27">
        <f>255444.44+246400</f>
        <v>501844.44</v>
      </c>
      <c r="J10" s="27">
        <v>81000</v>
      </c>
      <c r="K10" s="27">
        <v>112600</v>
      </c>
      <c r="L10" s="35">
        <f>100000</f>
        <v>100000</v>
      </c>
      <c r="M10" s="35"/>
      <c r="N10" s="35"/>
      <c r="O10" s="27"/>
      <c r="P10" s="19">
        <f t="shared" ref="P10:P13" si="2">SUM(D10:L10)</f>
        <v>5820979.1700000009</v>
      </c>
      <c r="Q10" s="70"/>
    </row>
    <row r="11" spans="1:21" x14ac:dyDescent="0.35">
      <c r="A11" s="39" t="s">
        <v>11</v>
      </c>
      <c r="B11" s="18">
        <v>450000</v>
      </c>
      <c r="C11" s="25"/>
      <c r="D11" s="35"/>
      <c r="E11" s="35">
        <v>36287.11</v>
      </c>
      <c r="F11" s="35">
        <v>22919.97</v>
      </c>
      <c r="G11" s="35">
        <v>20603.919999999998</v>
      </c>
      <c r="H11" s="27">
        <v>37360.730000000003</v>
      </c>
      <c r="I11" s="27">
        <v>28675.63</v>
      </c>
      <c r="J11" s="27">
        <v>9039.7000000000007</v>
      </c>
      <c r="K11" s="27"/>
      <c r="L11" s="35">
        <f>15284.05</f>
        <v>15284.05</v>
      </c>
      <c r="M11" s="35"/>
      <c r="N11" s="35"/>
      <c r="O11" s="27"/>
      <c r="P11" s="19">
        <f t="shared" si="2"/>
        <v>170171.11000000002</v>
      </c>
      <c r="Q11" s="70"/>
    </row>
    <row r="12" spans="1:21" x14ac:dyDescent="0.35">
      <c r="A12" s="39" t="s">
        <v>12</v>
      </c>
      <c r="B12" s="18"/>
      <c r="C12" s="25"/>
      <c r="D12" s="35"/>
      <c r="E12" s="35"/>
      <c r="F12" s="35"/>
      <c r="G12" s="35"/>
      <c r="H12" s="27"/>
      <c r="I12" s="27"/>
      <c r="J12" s="27"/>
      <c r="K12" s="27"/>
      <c r="L12" s="35"/>
      <c r="M12" s="35"/>
      <c r="N12" s="35"/>
      <c r="O12" s="27"/>
      <c r="P12" s="19">
        <f t="shared" si="2"/>
        <v>0</v>
      </c>
      <c r="Q12" s="70"/>
    </row>
    <row r="13" spans="1:21" x14ac:dyDescent="0.35">
      <c r="A13" s="39" t="s">
        <v>13</v>
      </c>
      <c r="B13" s="18">
        <v>13634313</v>
      </c>
      <c r="C13" s="25"/>
      <c r="D13" s="35">
        <f>514909.85+336639.03+66515.68</f>
        <v>918064.56</v>
      </c>
      <c r="E13" s="35">
        <f>520396.45+359521.87+66515.68</f>
        <v>946434</v>
      </c>
      <c r="F13" s="35">
        <f>510257.34+355201.1+66515.68</f>
        <v>931974.11999999988</v>
      </c>
      <c r="G13" s="35">
        <f>526284.04+367990.11+66515.7</f>
        <v>960789.85</v>
      </c>
      <c r="H13" s="27">
        <f>568416.46+346437.23+66515.7</f>
        <v>981369.3899999999</v>
      </c>
      <c r="I13" s="27">
        <f>570563.97+375053.31+66515.7</f>
        <v>1012132.98</v>
      </c>
      <c r="J13" s="27">
        <f>558925.96+351096.73+76486.7</f>
        <v>986509.3899999999</v>
      </c>
      <c r="K13" s="27">
        <f>656755.11+333694.76+45510.7</f>
        <v>1035960.57</v>
      </c>
      <c r="L13" s="35">
        <f>665881.09+293796.27+45510.7</f>
        <v>1005188.0599999999</v>
      </c>
      <c r="M13" s="35"/>
      <c r="N13" s="35"/>
      <c r="O13" s="27"/>
      <c r="P13" s="19">
        <f t="shared" si="2"/>
        <v>8778422.9199999999</v>
      </c>
      <c r="Q13" s="70"/>
    </row>
    <row r="14" spans="1:21" x14ac:dyDescent="0.35">
      <c r="A14" s="38" t="s">
        <v>14</v>
      </c>
      <c r="B14" s="17">
        <f t="shared" ref="B14:P14" si="3">SUM(B15:B23)</f>
        <v>17233219</v>
      </c>
      <c r="C14" s="23">
        <f t="shared" si="3"/>
        <v>-1163824</v>
      </c>
      <c r="D14" s="17">
        <f t="shared" si="3"/>
        <v>0</v>
      </c>
      <c r="E14" s="17">
        <f t="shared" si="3"/>
        <v>1143667.8</v>
      </c>
      <c r="F14" s="17">
        <f t="shared" si="3"/>
        <v>1312411.17</v>
      </c>
      <c r="G14" s="17">
        <f t="shared" si="3"/>
        <v>969450.67</v>
      </c>
      <c r="H14" s="26">
        <f t="shared" si="3"/>
        <v>1565847.67</v>
      </c>
      <c r="I14" s="26">
        <f t="shared" si="3"/>
        <v>721983.88</v>
      </c>
      <c r="J14" s="26">
        <f t="shared" si="3"/>
        <v>1491286.26</v>
      </c>
      <c r="K14" s="26">
        <f t="shared" si="3"/>
        <v>445984.62</v>
      </c>
      <c r="L14" s="17">
        <f t="shared" si="3"/>
        <v>1321263.42</v>
      </c>
      <c r="M14" s="17">
        <f t="shared" si="3"/>
        <v>0</v>
      </c>
      <c r="N14" s="17">
        <f t="shared" si="3"/>
        <v>0</v>
      </c>
      <c r="O14" s="26">
        <f t="shared" si="3"/>
        <v>0</v>
      </c>
      <c r="P14" s="17">
        <f t="shared" si="3"/>
        <v>8971895.4900000002</v>
      </c>
      <c r="Q14" s="70"/>
      <c r="U14" s="5">
        <f>SUM(U15:U23)</f>
        <v>0</v>
      </c>
    </row>
    <row r="15" spans="1:21" x14ac:dyDescent="0.35">
      <c r="A15" s="39" t="s">
        <v>15</v>
      </c>
      <c r="B15" s="18">
        <v>6930000</v>
      </c>
      <c r="C15" s="20">
        <v>-779600</v>
      </c>
      <c r="D15" s="35"/>
      <c r="E15" s="35">
        <v>597784.4</v>
      </c>
      <c r="F15" s="35">
        <v>298892.2</v>
      </c>
      <c r="G15" s="35">
        <v>298892.2</v>
      </c>
      <c r="H15" s="27">
        <v>766011.63</v>
      </c>
      <c r="I15" s="27">
        <v>130085.43</v>
      </c>
      <c r="J15" s="27">
        <v>733262.39</v>
      </c>
      <c r="K15" s="27">
        <v>119166.45</v>
      </c>
      <c r="L15" s="35">
        <f>538904.9</f>
        <v>538904.9</v>
      </c>
      <c r="M15" s="35"/>
      <c r="N15" s="35"/>
      <c r="O15" s="27"/>
      <c r="P15" s="19">
        <f>SUM(D15:L15)</f>
        <v>3482999.6</v>
      </c>
      <c r="Q15" s="70"/>
    </row>
    <row r="16" spans="1:21" x14ac:dyDescent="0.35">
      <c r="A16" s="39" t="s">
        <v>16</v>
      </c>
      <c r="B16" s="18">
        <v>306268</v>
      </c>
      <c r="C16" s="20">
        <v>438299</v>
      </c>
      <c r="D16" s="35"/>
      <c r="E16" s="35"/>
      <c r="F16" s="35">
        <v>71780.88</v>
      </c>
      <c r="G16" s="35">
        <f>44604+16860.31</f>
        <v>61464.31</v>
      </c>
      <c r="H16" s="27"/>
      <c r="I16" s="27">
        <v>61148.21</v>
      </c>
      <c r="J16" s="27"/>
      <c r="K16" s="27">
        <f>10602.3+145140</f>
        <v>155742.29999999999</v>
      </c>
      <c r="L16" s="35">
        <f>22500+61120.7</f>
        <v>83620.7</v>
      </c>
      <c r="M16" s="35"/>
      <c r="N16" s="35"/>
      <c r="O16" s="27"/>
      <c r="P16" s="19">
        <f t="shared" ref="P16:P23" si="4">SUM(D16:L16)</f>
        <v>433756.39999999997</v>
      </c>
      <c r="Q16" s="70"/>
    </row>
    <row r="17" spans="1:17" x14ac:dyDescent="0.35">
      <c r="A17" s="39" t="s">
        <v>17</v>
      </c>
      <c r="B17" s="18">
        <v>720298</v>
      </c>
      <c r="C17" s="20">
        <v>-425000</v>
      </c>
      <c r="D17" s="35"/>
      <c r="E17" s="35"/>
      <c r="F17" s="35"/>
      <c r="G17" s="35"/>
      <c r="H17" s="27"/>
      <c r="I17" s="27"/>
      <c r="J17" s="27"/>
      <c r="K17" s="27"/>
      <c r="L17" s="35"/>
      <c r="M17" s="35"/>
      <c r="N17" s="35"/>
      <c r="O17" s="27"/>
      <c r="P17" s="19">
        <f t="shared" si="4"/>
        <v>0</v>
      </c>
      <c r="Q17" s="70"/>
    </row>
    <row r="18" spans="1:17" x14ac:dyDescent="0.35">
      <c r="A18" s="39" t="s">
        <v>18</v>
      </c>
      <c r="B18" s="18">
        <v>569775</v>
      </c>
      <c r="C18" s="20">
        <v>-346703.41</v>
      </c>
      <c r="D18" s="35"/>
      <c r="E18" s="35"/>
      <c r="F18" s="35"/>
      <c r="G18" s="35"/>
      <c r="H18" s="27"/>
      <c r="I18" s="27"/>
      <c r="J18" s="27">
        <v>112300</v>
      </c>
      <c r="K18" s="27"/>
      <c r="L18" s="35"/>
      <c r="M18" s="35"/>
      <c r="N18" s="35"/>
      <c r="O18" s="27"/>
      <c r="P18" s="19">
        <f t="shared" si="4"/>
        <v>112300</v>
      </c>
      <c r="Q18" s="70"/>
    </row>
    <row r="19" spans="1:17" x14ac:dyDescent="0.35">
      <c r="A19" s="39" t="s">
        <v>19</v>
      </c>
      <c r="B19" s="18">
        <v>694777</v>
      </c>
      <c r="C19" s="20">
        <v>829287.41</v>
      </c>
      <c r="D19" s="35"/>
      <c r="E19" s="35"/>
      <c r="F19" s="35"/>
      <c r="G19" s="35"/>
      <c r="H19" s="27">
        <f>168385.41+200000+90000</f>
        <v>458385.41000000003</v>
      </c>
      <c r="I19" s="27">
        <v>138768</v>
      </c>
      <c r="J19" s="27"/>
      <c r="K19" s="27"/>
      <c r="L19" s="35">
        <f>61236.96</f>
        <v>61236.959999999999</v>
      </c>
      <c r="M19" s="35"/>
      <c r="N19" s="35"/>
      <c r="O19" s="27"/>
      <c r="P19" s="19">
        <f t="shared" si="4"/>
        <v>658390.37</v>
      </c>
      <c r="Q19" s="70"/>
    </row>
    <row r="20" spans="1:17" x14ac:dyDescent="0.35">
      <c r="A20" s="39" t="s">
        <v>20</v>
      </c>
      <c r="B20" s="18">
        <v>500000</v>
      </c>
      <c r="C20" s="20">
        <v>-112190</v>
      </c>
      <c r="D20" s="36"/>
      <c r="E20" s="35"/>
      <c r="F20" s="35">
        <v>387808.08</v>
      </c>
      <c r="G20" s="35"/>
      <c r="H20" s="27"/>
      <c r="I20" s="27"/>
      <c r="J20" s="27"/>
      <c r="K20" s="27"/>
      <c r="L20" s="35"/>
      <c r="M20" s="35"/>
      <c r="N20" s="35"/>
      <c r="O20" s="27"/>
      <c r="P20" s="19">
        <f t="shared" si="4"/>
        <v>387808.08</v>
      </c>
      <c r="Q20" s="70"/>
    </row>
    <row r="21" spans="1:17" ht="42" x14ac:dyDescent="0.35">
      <c r="A21" s="39" t="s">
        <v>21</v>
      </c>
      <c r="B21" s="18">
        <v>465072</v>
      </c>
      <c r="C21" s="20">
        <v>21270</v>
      </c>
      <c r="D21" s="35"/>
      <c r="E21" s="35">
        <v>21050.16</v>
      </c>
      <c r="F21" s="35">
        <v>58536.9</v>
      </c>
      <c r="G21" s="35">
        <v>128745.03</v>
      </c>
      <c r="H21" s="27">
        <v>48144</v>
      </c>
      <c r="I21" s="27">
        <v>19755.61</v>
      </c>
      <c r="J21" s="27">
        <f>13550.41+30816.74</f>
        <v>44367.15</v>
      </c>
      <c r="K21" s="27">
        <f>19116+40074.35</f>
        <v>59190.35</v>
      </c>
      <c r="L21" s="35">
        <f>9920.09+23767.75+1971.46</f>
        <v>35659.299999999996</v>
      </c>
      <c r="M21" s="35"/>
      <c r="N21" s="35"/>
      <c r="O21" s="27"/>
      <c r="P21" s="19">
        <f t="shared" si="4"/>
        <v>415448.5</v>
      </c>
      <c r="Q21" s="70"/>
    </row>
    <row r="22" spans="1:17" x14ac:dyDescent="0.35">
      <c r="A22" s="39" t="s">
        <v>22</v>
      </c>
      <c r="B22" s="18">
        <v>6692552</v>
      </c>
      <c r="C22" s="20">
        <v>-1423710</v>
      </c>
      <c r="D22" s="35"/>
      <c r="E22" s="35">
        <f>418043.43+50000+56789.81</f>
        <v>524833.24</v>
      </c>
      <c r="F22" s="35">
        <f>266076.82+50000+56789.81</f>
        <v>372866.63</v>
      </c>
      <c r="G22" s="35">
        <f>124876.82+100000+56789.81</f>
        <v>281666.63</v>
      </c>
      <c r="H22" s="27">
        <f>88516.82+100000+104789.81</f>
        <v>293306.63</v>
      </c>
      <c r="I22" s="27">
        <f>167097.01+55000+150129.62</f>
        <v>372226.63</v>
      </c>
      <c r="J22" s="27">
        <f>317353.82+94789.9</f>
        <v>412143.72</v>
      </c>
      <c r="K22" s="27">
        <f>9600+147285.52-45000</f>
        <v>111885.51999999999</v>
      </c>
      <c r="L22" s="35">
        <f>143575+458266.56</f>
        <v>601841.56000000006</v>
      </c>
      <c r="M22" s="35"/>
      <c r="N22" s="35"/>
      <c r="O22" s="27"/>
      <c r="P22" s="19">
        <f t="shared" si="4"/>
        <v>2970770.5599999996</v>
      </c>
      <c r="Q22" s="70"/>
    </row>
    <row r="23" spans="1:17" x14ac:dyDescent="0.35">
      <c r="A23" s="39" t="s">
        <v>23</v>
      </c>
      <c r="B23" s="18">
        <v>354477</v>
      </c>
      <c r="C23" s="20">
        <v>634523</v>
      </c>
      <c r="D23" s="35"/>
      <c r="E23" s="35"/>
      <c r="F23" s="35">
        <v>122526.48</v>
      </c>
      <c r="G23" s="35">
        <f>162692.5+35990</f>
        <v>198682.5</v>
      </c>
      <c r="H23" s="27"/>
      <c r="I23" s="27"/>
      <c r="J23" s="27">
        <f>112985+76228</f>
        <v>189213</v>
      </c>
      <c r="K23" s="27"/>
      <c r="L23" s="35"/>
      <c r="M23" s="35"/>
      <c r="N23" s="35"/>
      <c r="O23" s="27"/>
      <c r="P23" s="19">
        <f t="shared" si="4"/>
        <v>510421.98</v>
      </c>
      <c r="Q23" s="70"/>
    </row>
    <row r="24" spans="1:17" x14ac:dyDescent="0.35">
      <c r="A24" s="38" t="s">
        <v>24</v>
      </c>
      <c r="B24" s="17">
        <f>SUM(B25:B33)</f>
        <v>20573317</v>
      </c>
      <c r="C24" s="23">
        <f>SUM(C25:C33)</f>
        <v>-7389215</v>
      </c>
      <c r="D24" s="17">
        <f t="shared" ref="D24:J24" si="5">SUM(D25:D33)</f>
        <v>0</v>
      </c>
      <c r="E24" s="17">
        <f t="shared" si="5"/>
        <v>0</v>
      </c>
      <c r="F24" s="17">
        <f t="shared" si="5"/>
        <v>1301233.96</v>
      </c>
      <c r="G24" s="17">
        <f t="shared" si="5"/>
        <v>307301.78999999998</v>
      </c>
      <c r="H24" s="26">
        <f t="shared" si="5"/>
        <v>329300.32</v>
      </c>
      <c r="I24" s="26">
        <f t="shared" si="5"/>
        <v>701926.66</v>
      </c>
      <c r="J24" s="26">
        <f t="shared" si="5"/>
        <v>521763.42</v>
      </c>
      <c r="K24" s="26">
        <f t="shared" ref="K24:P24" si="6">SUM(K25:K33)</f>
        <v>2406615.8699999996</v>
      </c>
      <c r="L24" s="17">
        <f t="shared" si="6"/>
        <v>138946.28</v>
      </c>
      <c r="M24" s="17">
        <f t="shared" si="6"/>
        <v>0</v>
      </c>
      <c r="N24" s="17">
        <f t="shared" si="6"/>
        <v>0</v>
      </c>
      <c r="O24" s="26">
        <f t="shared" si="6"/>
        <v>0</v>
      </c>
      <c r="P24" s="17">
        <f t="shared" si="6"/>
        <v>5707088.2999999998</v>
      </c>
      <c r="Q24" s="70"/>
    </row>
    <row r="25" spans="1:17" x14ac:dyDescent="0.35">
      <c r="A25" s="39" t="s">
        <v>25</v>
      </c>
      <c r="B25" s="18">
        <v>409761</v>
      </c>
      <c r="C25" s="20">
        <v>-43761</v>
      </c>
      <c r="D25" s="35"/>
      <c r="E25" s="35"/>
      <c r="F25" s="35">
        <v>151226</v>
      </c>
      <c r="G25" s="35"/>
      <c r="H25" s="27">
        <v>11522.45</v>
      </c>
      <c r="I25" s="27">
        <v>14602.5</v>
      </c>
      <c r="J25" s="27"/>
      <c r="K25" s="27">
        <v>-11522.45</v>
      </c>
      <c r="L25" s="35">
        <f>11522.45</f>
        <v>11522.45</v>
      </c>
      <c r="M25" s="35"/>
      <c r="N25" s="35"/>
      <c r="O25" s="27"/>
      <c r="P25" s="19">
        <f>SUM(D25:L25)</f>
        <v>177350.95</v>
      </c>
      <c r="Q25" s="70"/>
    </row>
    <row r="26" spans="1:17" x14ac:dyDescent="0.35">
      <c r="A26" s="39" t="s">
        <v>26</v>
      </c>
      <c r="B26" s="18">
        <v>207700</v>
      </c>
      <c r="C26" s="20">
        <v>547300</v>
      </c>
      <c r="D26" s="35"/>
      <c r="E26" s="35"/>
      <c r="F26" s="35"/>
      <c r="G26" s="35"/>
      <c r="H26" s="27"/>
      <c r="I26" s="27"/>
      <c r="J26" s="27"/>
      <c r="K26" s="27"/>
      <c r="L26" s="35"/>
      <c r="M26" s="35"/>
      <c r="N26" s="35"/>
      <c r="O26" s="27"/>
      <c r="P26" s="19">
        <f t="shared" ref="P26:P33" si="7">SUM(D26:L26)</f>
        <v>0</v>
      </c>
      <c r="Q26" s="70"/>
    </row>
    <row r="27" spans="1:17" x14ac:dyDescent="0.35">
      <c r="A27" s="39" t="s">
        <v>27</v>
      </c>
      <c r="B27" s="18">
        <v>505611</v>
      </c>
      <c r="C27" s="20">
        <v>378389</v>
      </c>
      <c r="D27" s="35"/>
      <c r="E27" s="35"/>
      <c r="F27" s="35">
        <v>141747.03</v>
      </c>
      <c r="G27" s="35"/>
      <c r="H27" s="27">
        <v>104725</v>
      </c>
      <c r="I27" s="27">
        <v>5896.28</v>
      </c>
      <c r="J27" s="27">
        <v>34345</v>
      </c>
      <c r="K27" s="27">
        <v>-104725</v>
      </c>
      <c r="L27" s="35">
        <f>104725</f>
        <v>104725</v>
      </c>
      <c r="M27" s="35"/>
      <c r="N27" s="35"/>
      <c r="O27" s="27"/>
      <c r="P27" s="19">
        <f t="shared" si="7"/>
        <v>286713.31</v>
      </c>
      <c r="Q27" s="70"/>
    </row>
    <row r="28" spans="1:17" x14ac:dyDescent="0.35">
      <c r="A28" s="39" t="s">
        <v>28</v>
      </c>
      <c r="B28" s="18">
        <v>20000</v>
      </c>
      <c r="C28" s="20">
        <v>-20000</v>
      </c>
      <c r="D28" s="35"/>
      <c r="E28" s="35"/>
      <c r="F28" s="35"/>
      <c r="G28" s="35"/>
      <c r="H28" s="27"/>
      <c r="I28" s="27"/>
      <c r="J28" s="27"/>
      <c r="K28" s="27"/>
      <c r="L28" s="35"/>
      <c r="M28" s="35"/>
      <c r="N28" s="35"/>
      <c r="O28" s="27"/>
      <c r="P28" s="19">
        <f t="shared" si="7"/>
        <v>0</v>
      </c>
      <c r="Q28" s="70"/>
    </row>
    <row r="29" spans="1:17" x14ac:dyDescent="0.35">
      <c r="A29" s="39" t="s">
        <v>29</v>
      </c>
      <c r="B29" s="18">
        <v>148954</v>
      </c>
      <c r="C29" s="20">
        <f>1046-14857</f>
        <v>-13811</v>
      </c>
      <c r="D29" s="35"/>
      <c r="E29" s="35"/>
      <c r="F29" s="35"/>
      <c r="G29" s="35"/>
      <c r="H29" s="27"/>
      <c r="I29" s="27"/>
      <c r="J29" s="27"/>
      <c r="K29" s="27">
        <v>823.47</v>
      </c>
      <c r="L29" s="35"/>
      <c r="M29" s="35"/>
      <c r="N29" s="35"/>
      <c r="O29" s="27"/>
      <c r="P29" s="19">
        <f t="shared" si="7"/>
        <v>823.47</v>
      </c>
      <c r="Q29" s="70"/>
    </row>
    <row r="30" spans="1:17" x14ac:dyDescent="0.35">
      <c r="A30" s="39" t="s">
        <v>30</v>
      </c>
      <c r="B30" s="18">
        <v>183789</v>
      </c>
      <c r="C30" s="20">
        <v>-40000</v>
      </c>
      <c r="D30" s="35"/>
      <c r="E30" s="35"/>
      <c r="F30" s="35"/>
      <c r="G30" s="35">
        <v>10531</v>
      </c>
      <c r="H30" s="27"/>
      <c r="I30" s="27"/>
      <c r="J30" s="27">
        <v>10476.73</v>
      </c>
      <c r="K30" s="27">
        <v>6315.01</v>
      </c>
      <c r="L30" s="35"/>
      <c r="M30" s="35"/>
      <c r="N30" s="35"/>
      <c r="O30" s="27"/>
      <c r="P30" s="19">
        <f t="shared" si="7"/>
        <v>27322.739999999998</v>
      </c>
      <c r="Q30" s="70"/>
    </row>
    <row r="31" spans="1:17" x14ac:dyDescent="0.35">
      <c r="A31" s="39" t="s">
        <v>31</v>
      </c>
      <c r="B31" s="18">
        <v>8792549</v>
      </c>
      <c r="C31" s="20">
        <v>-7778</v>
      </c>
      <c r="D31" s="35"/>
      <c r="E31" s="35"/>
      <c r="F31" s="19">
        <v>750930</v>
      </c>
      <c r="G31" s="35"/>
      <c r="H31" s="27"/>
      <c r="I31" s="27">
        <v>366979.99</v>
      </c>
      <c r="J31" s="27">
        <v>91200.08</v>
      </c>
      <c r="K31" s="27">
        <f>1247250+1246800</f>
        <v>2494050</v>
      </c>
      <c r="L31" s="35"/>
      <c r="M31" s="35"/>
      <c r="N31" s="35"/>
      <c r="O31" s="27"/>
      <c r="P31" s="19">
        <f t="shared" si="7"/>
        <v>3703160.0700000003</v>
      </c>
      <c r="Q31" s="70"/>
    </row>
    <row r="32" spans="1:17" ht="42" x14ac:dyDescent="0.35">
      <c r="A32" s="39" t="s">
        <v>32</v>
      </c>
      <c r="B32" s="18"/>
      <c r="C32" s="20"/>
      <c r="D32" s="35"/>
      <c r="E32" s="35"/>
      <c r="F32" s="35"/>
      <c r="G32" s="35"/>
      <c r="H32" s="27"/>
      <c r="I32" s="27"/>
      <c r="J32" s="27"/>
      <c r="K32" s="27"/>
      <c r="L32" s="35"/>
      <c r="M32" s="35"/>
      <c r="N32" s="35"/>
      <c r="O32" s="27"/>
      <c r="P32" s="19">
        <f t="shared" si="7"/>
        <v>0</v>
      </c>
      <c r="Q32" s="70"/>
    </row>
    <row r="33" spans="1:17" x14ac:dyDescent="0.35">
      <c r="A33" s="39" t="s">
        <v>33</v>
      </c>
      <c r="B33" s="18">
        <v>10304953</v>
      </c>
      <c r="C33" s="20">
        <v>-8189554</v>
      </c>
      <c r="D33" s="35"/>
      <c r="E33" s="35"/>
      <c r="F33" s="35">
        <v>257330.93</v>
      </c>
      <c r="G33" s="35">
        <v>296770.78999999998</v>
      </c>
      <c r="H33" s="27">
        <v>213052.87</v>
      </c>
      <c r="I33" s="27">
        <v>314447.89</v>
      </c>
      <c r="J33" s="27">
        <v>385741.61</v>
      </c>
      <c r="K33" s="27">
        <v>21674.84</v>
      </c>
      <c r="L33" s="35">
        <f>13504.45+9194.38</f>
        <v>22698.83</v>
      </c>
      <c r="M33" s="35"/>
      <c r="N33" s="35"/>
      <c r="O33" s="27"/>
      <c r="P33" s="19">
        <f t="shared" si="7"/>
        <v>1511717.76</v>
      </c>
      <c r="Q33" s="70"/>
    </row>
    <row r="34" spans="1:17" x14ac:dyDescent="0.35">
      <c r="A34" s="38" t="s">
        <v>34</v>
      </c>
      <c r="B34" s="17">
        <f t="shared" ref="B34:J34" si="8">SUM(B35:B41)</f>
        <v>930148</v>
      </c>
      <c r="C34" s="23">
        <f t="shared" si="8"/>
        <v>-352237.5</v>
      </c>
      <c r="D34" s="17">
        <f t="shared" si="8"/>
        <v>0</v>
      </c>
      <c r="E34" s="17">
        <f t="shared" si="8"/>
        <v>0</v>
      </c>
      <c r="F34" s="17">
        <f t="shared" si="8"/>
        <v>168757</v>
      </c>
      <c r="G34" s="17">
        <f t="shared" si="8"/>
        <v>79920</v>
      </c>
      <c r="H34" s="17">
        <f t="shared" si="8"/>
        <v>0</v>
      </c>
      <c r="I34" s="17">
        <f t="shared" si="8"/>
        <v>0</v>
      </c>
      <c r="J34" s="17">
        <f t="shared" si="8"/>
        <v>0</v>
      </c>
      <c r="K34" s="17">
        <f>SUM(K35:K41)</f>
        <v>0</v>
      </c>
      <c r="L34" s="17"/>
      <c r="M34" s="17"/>
      <c r="N34" s="17"/>
      <c r="O34" s="26"/>
      <c r="P34" s="17">
        <f>SUM(P35:P41)</f>
        <v>248677</v>
      </c>
      <c r="Q34" s="70"/>
    </row>
    <row r="35" spans="1:17" x14ac:dyDescent="0.35">
      <c r="A35" s="39" t="s">
        <v>35</v>
      </c>
      <c r="B35" s="18">
        <v>930148</v>
      </c>
      <c r="C35" s="20">
        <v>-402237.5</v>
      </c>
      <c r="D35" s="35"/>
      <c r="E35" s="35"/>
      <c r="F35" s="35">
        <f>30000+70000</f>
        <v>100000</v>
      </c>
      <c r="G35" s="35">
        <v>79920</v>
      </c>
      <c r="H35" s="27"/>
      <c r="I35" s="27"/>
      <c r="J35" s="27"/>
      <c r="K35" s="27"/>
      <c r="L35" s="35"/>
      <c r="M35" s="35"/>
      <c r="N35" s="35"/>
      <c r="O35" s="27"/>
      <c r="P35" s="19">
        <f>SUM(D35:L35)</f>
        <v>179920</v>
      </c>
      <c r="Q35" s="70"/>
    </row>
    <row r="36" spans="1:17" x14ac:dyDescent="0.35">
      <c r="A36" s="39" t="s">
        <v>36</v>
      </c>
      <c r="B36" s="18"/>
      <c r="C36" s="25">
        <v>0</v>
      </c>
      <c r="D36" s="35"/>
      <c r="E36" s="35"/>
      <c r="F36" s="35"/>
      <c r="G36" s="35"/>
      <c r="H36" s="27"/>
      <c r="I36" s="27"/>
      <c r="J36" s="27"/>
      <c r="K36" s="27"/>
      <c r="L36" s="35"/>
      <c r="M36" s="35"/>
      <c r="N36" s="35"/>
      <c r="O36" s="27"/>
      <c r="P36" s="19">
        <f t="shared" ref="P36:P48" si="9">SUM(D36:L36)</f>
        <v>0</v>
      </c>
      <c r="Q36" s="70"/>
    </row>
    <row r="37" spans="1:17" x14ac:dyDescent="0.35">
      <c r="A37" s="39" t="s">
        <v>37</v>
      </c>
      <c r="B37" s="18"/>
      <c r="C37" s="25">
        <v>0</v>
      </c>
      <c r="D37" s="35"/>
      <c r="E37" s="35"/>
      <c r="F37" s="35"/>
      <c r="G37" s="35"/>
      <c r="H37" s="27"/>
      <c r="I37" s="27"/>
      <c r="J37" s="27"/>
      <c r="K37" s="27"/>
      <c r="L37" s="35"/>
      <c r="M37" s="35"/>
      <c r="N37" s="35"/>
      <c r="O37" s="27"/>
      <c r="P37" s="19">
        <f t="shared" si="9"/>
        <v>0</v>
      </c>
      <c r="Q37" s="70"/>
    </row>
    <row r="38" spans="1:17" x14ac:dyDescent="0.35">
      <c r="A38" s="39" t="s">
        <v>38</v>
      </c>
      <c r="B38" s="18"/>
      <c r="C38" s="25">
        <v>0</v>
      </c>
      <c r="D38" s="35"/>
      <c r="E38" s="35"/>
      <c r="F38" s="35"/>
      <c r="G38" s="35"/>
      <c r="H38" s="27"/>
      <c r="I38" s="27"/>
      <c r="J38" s="27"/>
      <c r="K38" s="27"/>
      <c r="L38" s="35"/>
      <c r="M38" s="35"/>
      <c r="N38" s="35"/>
      <c r="O38" s="27"/>
      <c r="P38" s="19">
        <f t="shared" si="9"/>
        <v>0</v>
      </c>
      <c r="Q38" s="70"/>
    </row>
    <row r="39" spans="1:17" ht="42" x14ac:dyDescent="0.35">
      <c r="A39" s="39" t="s">
        <v>39</v>
      </c>
      <c r="B39" s="18"/>
      <c r="C39" s="25">
        <v>0</v>
      </c>
      <c r="D39" s="35">
        <v>0</v>
      </c>
      <c r="E39" s="35">
        <v>0</v>
      </c>
      <c r="F39" s="35"/>
      <c r="G39" s="35"/>
      <c r="H39" s="27"/>
      <c r="I39" s="27"/>
      <c r="J39" s="27"/>
      <c r="K39" s="27"/>
      <c r="L39" s="35"/>
      <c r="M39" s="35"/>
      <c r="N39" s="35"/>
      <c r="O39" s="27"/>
      <c r="P39" s="19">
        <f t="shared" si="9"/>
        <v>0</v>
      </c>
      <c r="Q39" s="70"/>
    </row>
    <row r="40" spans="1:17" x14ac:dyDescent="0.35">
      <c r="A40" s="39" t="s">
        <v>40</v>
      </c>
      <c r="B40" s="18"/>
      <c r="C40" s="25">
        <v>50000</v>
      </c>
      <c r="D40" s="35">
        <v>0</v>
      </c>
      <c r="E40" s="35">
        <v>0</v>
      </c>
      <c r="F40" s="35">
        <f>50000+18757</f>
        <v>68757</v>
      </c>
      <c r="G40" s="35"/>
      <c r="H40" s="27"/>
      <c r="I40" s="27"/>
      <c r="J40" s="27"/>
      <c r="K40" s="27"/>
      <c r="L40" s="35"/>
      <c r="M40" s="35"/>
      <c r="N40" s="35"/>
      <c r="O40" s="27"/>
      <c r="P40" s="19">
        <f t="shared" si="9"/>
        <v>68757</v>
      </c>
      <c r="Q40" s="70"/>
    </row>
    <row r="41" spans="1:17" x14ac:dyDescent="0.35">
      <c r="A41" s="39" t="s">
        <v>41</v>
      </c>
      <c r="B41" s="18"/>
      <c r="C41" s="25">
        <v>0</v>
      </c>
      <c r="D41" s="35">
        <v>0</v>
      </c>
      <c r="E41" s="35">
        <v>0</v>
      </c>
      <c r="F41" s="35"/>
      <c r="G41" s="35"/>
      <c r="H41" s="27"/>
      <c r="I41" s="27"/>
      <c r="J41" s="27"/>
      <c r="K41" s="27"/>
      <c r="L41" s="35"/>
      <c r="M41" s="35"/>
      <c r="N41" s="35"/>
      <c r="O41" s="27"/>
      <c r="P41" s="19">
        <f t="shared" si="9"/>
        <v>0</v>
      </c>
      <c r="Q41" s="70"/>
    </row>
    <row r="42" spans="1:17" x14ac:dyDescent="0.35">
      <c r="A42" s="38" t="s">
        <v>42</v>
      </c>
      <c r="B42" s="55"/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26"/>
      <c r="P42" s="19">
        <f t="shared" si="9"/>
        <v>0</v>
      </c>
      <c r="Q42" s="70"/>
    </row>
    <row r="43" spans="1:17" x14ac:dyDescent="0.35">
      <c r="A43" s="39" t="s">
        <v>43</v>
      </c>
      <c r="B43" s="18"/>
      <c r="C43" s="25">
        <v>0</v>
      </c>
      <c r="D43" s="35">
        <v>0</v>
      </c>
      <c r="E43" s="35">
        <v>0</v>
      </c>
      <c r="F43" s="35"/>
      <c r="G43" s="35"/>
      <c r="H43" s="27"/>
      <c r="I43" s="27"/>
      <c r="J43" s="27"/>
      <c r="K43" s="27"/>
      <c r="L43" s="35"/>
      <c r="M43" s="35"/>
      <c r="N43" s="35"/>
      <c r="O43" s="27"/>
      <c r="P43" s="19">
        <f t="shared" si="9"/>
        <v>0</v>
      </c>
      <c r="Q43" s="70"/>
    </row>
    <row r="44" spans="1:17" x14ac:dyDescent="0.35">
      <c r="A44" s="39" t="s">
        <v>44</v>
      </c>
      <c r="B44" s="18"/>
      <c r="C44" s="25">
        <v>0</v>
      </c>
      <c r="D44" s="35">
        <v>0</v>
      </c>
      <c r="E44" s="35">
        <v>0</v>
      </c>
      <c r="F44" s="35"/>
      <c r="G44" s="35"/>
      <c r="H44" s="27"/>
      <c r="I44" s="27"/>
      <c r="J44" s="27"/>
      <c r="K44" s="27"/>
      <c r="L44" s="35"/>
      <c r="M44" s="35"/>
      <c r="N44" s="35"/>
      <c r="O44" s="27"/>
      <c r="P44" s="19">
        <f t="shared" si="9"/>
        <v>0</v>
      </c>
      <c r="Q44" s="70"/>
    </row>
    <row r="45" spans="1:17" x14ac:dyDescent="0.35">
      <c r="A45" s="39" t="s">
        <v>45</v>
      </c>
      <c r="B45" s="18"/>
      <c r="C45" s="25">
        <v>0</v>
      </c>
      <c r="D45" s="35">
        <v>0</v>
      </c>
      <c r="E45" s="35">
        <v>0</v>
      </c>
      <c r="F45" s="35"/>
      <c r="G45" s="35"/>
      <c r="H45" s="27"/>
      <c r="I45" s="27"/>
      <c r="J45" s="27"/>
      <c r="K45" s="27"/>
      <c r="L45" s="35"/>
      <c r="M45" s="35"/>
      <c r="N45" s="35"/>
      <c r="O45" s="27"/>
      <c r="P45" s="19">
        <f t="shared" si="9"/>
        <v>0</v>
      </c>
      <c r="Q45" s="70"/>
    </row>
    <row r="46" spans="1:17" x14ac:dyDescent="0.35">
      <c r="A46" s="39" t="s">
        <v>46</v>
      </c>
      <c r="B46" s="18"/>
      <c r="C46" s="25">
        <v>0</v>
      </c>
      <c r="D46" s="35">
        <v>0</v>
      </c>
      <c r="E46" s="35">
        <v>0</v>
      </c>
      <c r="F46" s="35"/>
      <c r="G46" s="35"/>
      <c r="H46" s="27"/>
      <c r="I46" s="27"/>
      <c r="J46" s="27"/>
      <c r="K46" s="27"/>
      <c r="L46" s="35"/>
      <c r="M46" s="35"/>
      <c r="N46" s="35"/>
      <c r="O46" s="27"/>
      <c r="P46" s="19">
        <f t="shared" si="9"/>
        <v>0</v>
      </c>
      <c r="Q46" s="70"/>
    </row>
    <row r="47" spans="1:17" x14ac:dyDescent="0.35">
      <c r="A47" s="39" t="s">
        <v>47</v>
      </c>
      <c r="B47" s="18"/>
      <c r="C47" s="25">
        <v>0</v>
      </c>
      <c r="D47" s="35">
        <v>0</v>
      </c>
      <c r="E47" s="35">
        <v>0</v>
      </c>
      <c r="F47" s="35"/>
      <c r="G47" s="35"/>
      <c r="H47" s="27"/>
      <c r="I47" s="27"/>
      <c r="J47" s="27"/>
      <c r="K47" s="27"/>
      <c r="L47" s="35"/>
      <c r="M47" s="35"/>
      <c r="N47" s="35"/>
      <c r="O47" s="27"/>
      <c r="P47" s="19">
        <f t="shared" si="9"/>
        <v>0</v>
      </c>
      <c r="Q47" s="70"/>
    </row>
    <row r="48" spans="1:17" x14ac:dyDescent="0.35">
      <c r="A48" s="39" t="s">
        <v>48</v>
      </c>
      <c r="B48" s="18"/>
      <c r="C48" s="25">
        <v>0</v>
      </c>
      <c r="D48" s="35">
        <v>0</v>
      </c>
      <c r="E48" s="35">
        <v>0</v>
      </c>
      <c r="F48" s="35"/>
      <c r="G48" s="35"/>
      <c r="H48" s="27"/>
      <c r="I48" s="27"/>
      <c r="J48" s="27"/>
      <c r="K48" s="27"/>
      <c r="L48" s="35"/>
      <c r="M48" s="35"/>
      <c r="N48" s="35"/>
      <c r="O48" s="27"/>
      <c r="P48" s="19">
        <f t="shared" si="9"/>
        <v>0</v>
      </c>
      <c r="Q48" s="70"/>
    </row>
    <row r="49" spans="1:17" x14ac:dyDescent="0.35">
      <c r="A49" s="38" t="s">
        <v>49</v>
      </c>
      <c r="B49" s="17">
        <f>SUM(B50:B58)</f>
        <v>9194118</v>
      </c>
      <c r="C49" s="23">
        <f>SUM(C50:C58)</f>
        <v>-2137711.5</v>
      </c>
      <c r="D49" s="17">
        <f t="shared" ref="D49:H49" si="10">SUM(D50:D58)</f>
        <v>0</v>
      </c>
      <c r="E49" s="17">
        <f t="shared" si="10"/>
        <v>0</v>
      </c>
      <c r="F49" s="17">
        <f t="shared" si="10"/>
        <v>17818</v>
      </c>
      <c r="G49" s="17">
        <f t="shared" si="10"/>
        <v>0</v>
      </c>
      <c r="H49" s="26">
        <f t="shared" si="10"/>
        <v>149348.76</v>
      </c>
      <c r="I49" s="26">
        <f t="shared" ref="I49:P49" si="11">SUM(I50:I58)</f>
        <v>20650</v>
      </c>
      <c r="J49" s="26">
        <f t="shared" si="11"/>
        <v>1056697.68</v>
      </c>
      <c r="K49" s="26">
        <f t="shared" si="11"/>
        <v>0</v>
      </c>
      <c r="L49" s="17">
        <f t="shared" si="11"/>
        <v>0</v>
      </c>
      <c r="M49" s="17">
        <f t="shared" si="11"/>
        <v>0</v>
      </c>
      <c r="N49" s="17">
        <f t="shared" si="11"/>
        <v>0</v>
      </c>
      <c r="O49" s="26">
        <f t="shared" si="11"/>
        <v>0</v>
      </c>
      <c r="P49" s="17">
        <f t="shared" si="11"/>
        <v>1244514.44</v>
      </c>
      <c r="Q49" s="70"/>
    </row>
    <row r="50" spans="1:17" x14ac:dyDescent="0.35">
      <c r="A50" s="39" t="s">
        <v>50</v>
      </c>
      <c r="B50" s="18">
        <v>6676722</v>
      </c>
      <c r="C50" s="20">
        <v>-1191722</v>
      </c>
      <c r="D50" s="35">
        <v>0</v>
      </c>
      <c r="E50" s="35">
        <v>0</v>
      </c>
      <c r="F50" s="35">
        <v>0</v>
      </c>
      <c r="G50" s="35">
        <v>0</v>
      </c>
      <c r="H50" s="27">
        <v>0</v>
      </c>
      <c r="I50" s="27">
        <v>0</v>
      </c>
      <c r="J50" s="27">
        <v>1056697.68</v>
      </c>
      <c r="K50" s="27">
        <v>0</v>
      </c>
      <c r="L50" s="35">
        <v>0</v>
      </c>
      <c r="M50" s="35"/>
      <c r="N50" s="35"/>
      <c r="O50" s="27"/>
      <c r="P50" s="19">
        <f>SUM(D50:L50)</f>
        <v>1056697.68</v>
      </c>
      <c r="Q50" s="70"/>
    </row>
    <row r="51" spans="1:17" x14ac:dyDescent="0.35">
      <c r="A51" s="39" t="s">
        <v>51</v>
      </c>
      <c r="B51" s="18">
        <v>579552</v>
      </c>
      <c r="C51" s="20">
        <v>308433</v>
      </c>
      <c r="D51" s="35">
        <v>0</v>
      </c>
      <c r="E51" s="35">
        <v>0</v>
      </c>
      <c r="F51" s="35">
        <v>17818</v>
      </c>
      <c r="G51" s="35"/>
      <c r="H51" s="27">
        <v>149348.76</v>
      </c>
      <c r="I51" s="27">
        <v>20650</v>
      </c>
      <c r="J51" s="27">
        <v>0</v>
      </c>
      <c r="K51" s="27">
        <v>0</v>
      </c>
      <c r="L51" s="35">
        <v>0</v>
      </c>
      <c r="M51" s="35"/>
      <c r="N51" s="35"/>
      <c r="O51" s="27"/>
      <c r="P51" s="19">
        <f t="shared" ref="P51:P57" si="12">SUM(D51:L51)</f>
        <v>187816.76</v>
      </c>
      <c r="Q51" s="70"/>
    </row>
    <row r="52" spans="1:17" x14ac:dyDescent="0.35">
      <c r="A52" s="39" t="s">
        <v>52</v>
      </c>
      <c r="B52" s="18"/>
      <c r="C52" s="20"/>
      <c r="D52" s="35">
        <v>0</v>
      </c>
      <c r="E52" s="35">
        <v>0</v>
      </c>
      <c r="F52" s="35">
        <v>0</v>
      </c>
      <c r="G52" s="35"/>
      <c r="H52" s="27">
        <v>0</v>
      </c>
      <c r="I52" s="27">
        <v>0</v>
      </c>
      <c r="J52" s="27">
        <v>0</v>
      </c>
      <c r="K52" s="27">
        <v>0</v>
      </c>
      <c r="L52" s="35">
        <v>0</v>
      </c>
      <c r="M52" s="35"/>
      <c r="N52" s="35"/>
      <c r="O52" s="27"/>
      <c r="P52" s="19">
        <f t="shared" si="12"/>
        <v>0</v>
      </c>
      <c r="Q52" s="70"/>
    </row>
    <row r="53" spans="1:17" x14ac:dyDescent="0.35">
      <c r="A53" s="39" t="s">
        <v>53</v>
      </c>
      <c r="B53" s="18">
        <v>558977</v>
      </c>
      <c r="C53" s="20">
        <v>-558975.5</v>
      </c>
      <c r="D53" s="35">
        <v>0</v>
      </c>
      <c r="E53" s="35">
        <v>0</v>
      </c>
      <c r="F53" s="35">
        <v>0</v>
      </c>
      <c r="G53" s="35"/>
      <c r="H53" s="27">
        <v>0</v>
      </c>
      <c r="I53" s="27">
        <v>0</v>
      </c>
      <c r="J53" s="27">
        <v>0</v>
      </c>
      <c r="K53" s="27">
        <v>0</v>
      </c>
      <c r="L53" s="35">
        <v>0</v>
      </c>
      <c r="M53" s="35"/>
      <c r="N53" s="35"/>
      <c r="O53" s="27"/>
      <c r="P53" s="19">
        <f t="shared" si="12"/>
        <v>0</v>
      </c>
      <c r="Q53" s="70"/>
    </row>
    <row r="54" spans="1:17" x14ac:dyDescent="0.35">
      <c r="A54" s="39" t="s">
        <v>54</v>
      </c>
      <c r="B54" s="18">
        <v>378420</v>
      </c>
      <c r="C54" s="20">
        <v>305000</v>
      </c>
      <c r="D54" s="35">
        <v>0</v>
      </c>
      <c r="E54" s="35">
        <v>0</v>
      </c>
      <c r="F54" s="35">
        <v>0</v>
      </c>
      <c r="G54" s="35"/>
      <c r="H54" s="27">
        <v>0</v>
      </c>
      <c r="I54" s="27">
        <v>0</v>
      </c>
      <c r="J54" s="27">
        <v>0</v>
      </c>
      <c r="K54" s="27">
        <v>0</v>
      </c>
      <c r="L54" s="35">
        <v>0</v>
      </c>
      <c r="M54" s="35"/>
      <c r="N54" s="35"/>
      <c r="O54" s="27"/>
      <c r="P54" s="19">
        <f t="shared" si="12"/>
        <v>0</v>
      </c>
      <c r="Q54" s="70"/>
    </row>
    <row r="55" spans="1:17" ht="21.75" thickBot="1" x14ac:dyDescent="0.4">
      <c r="A55" s="48" t="s">
        <v>55</v>
      </c>
      <c r="B55" s="71"/>
      <c r="C55" s="72"/>
      <c r="D55" s="45">
        <v>0</v>
      </c>
      <c r="E55" s="45">
        <v>0</v>
      </c>
      <c r="F55" s="45">
        <v>0</v>
      </c>
      <c r="G55" s="45"/>
      <c r="H55" s="46">
        <v>0</v>
      </c>
      <c r="I55" s="46">
        <v>0</v>
      </c>
      <c r="J55" s="46">
        <v>0</v>
      </c>
      <c r="K55" s="46">
        <v>0</v>
      </c>
      <c r="L55" s="45">
        <v>0</v>
      </c>
      <c r="M55" s="45"/>
      <c r="N55" s="45"/>
      <c r="O55" s="46"/>
      <c r="P55" s="49">
        <f t="shared" si="12"/>
        <v>0</v>
      </c>
      <c r="Q55" s="70"/>
    </row>
    <row r="56" spans="1:17" x14ac:dyDescent="0.35">
      <c r="A56" s="39" t="s">
        <v>56</v>
      </c>
      <c r="B56" s="18"/>
      <c r="C56" s="20">
        <v>0</v>
      </c>
      <c r="D56" s="35">
        <v>0</v>
      </c>
      <c r="E56" s="35">
        <v>0</v>
      </c>
      <c r="F56" s="35"/>
      <c r="G56" s="35"/>
      <c r="H56" s="27"/>
      <c r="I56" s="27"/>
      <c r="J56" s="27"/>
      <c r="K56" s="27"/>
      <c r="L56" s="35"/>
      <c r="M56" s="35"/>
      <c r="N56" s="35"/>
      <c r="O56" s="27"/>
      <c r="P56" s="19">
        <f t="shared" si="12"/>
        <v>0</v>
      </c>
    </row>
    <row r="57" spans="1:17" x14ac:dyDescent="0.35">
      <c r="A57" s="39" t="s">
        <v>57</v>
      </c>
      <c r="B57" s="18">
        <v>1000447</v>
      </c>
      <c r="C57" s="20">
        <v>-1000447</v>
      </c>
      <c r="D57" s="35">
        <v>0</v>
      </c>
      <c r="E57" s="35">
        <v>0</v>
      </c>
      <c r="F57" s="35"/>
      <c r="G57" s="35"/>
      <c r="H57" s="27"/>
      <c r="I57" s="27"/>
      <c r="J57" s="27"/>
      <c r="K57" s="27"/>
      <c r="L57" s="35"/>
      <c r="M57" s="35"/>
      <c r="N57" s="35"/>
      <c r="O57" s="27"/>
      <c r="P57" s="19">
        <f t="shared" si="12"/>
        <v>0</v>
      </c>
    </row>
    <row r="58" spans="1:17" x14ac:dyDescent="0.35">
      <c r="A58" s="39" t="s">
        <v>58</v>
      </c>
      <c r="B58" s="18"/>
      <c r="C58" s="20">
        <v>0</v>
      </c>
      <c r="D58" s="35">
        <v>0</v>
      </c>
      <c r="E58" s="35">
        <v>0</v>
      </c>
      <c r="F58" s="35"/>
      <c r="G58" s="35"/>
      <c r="H58" s="27"/>
      <c r="I58" s="27"/>
      <c r="J58" s="27"/>
      <c r="K58" s="27"/>
      <c r="L58" s="35"/>
      <c r="M58" s="35"/>
      <c r="N58" s="35"/>
      <c r="O58" s="27"/>
      <c r="P58" s="19">
        <f>SUM(D58:L58)</f>
        <v>0</v>
      </c>
    </row>
    <row r="59" spans="1:17" s="6" customFormat="1" x14ac:dyDescent="0.35">
      <c r="A59" s="38" t="s">
        <v>59</v>
      </c>
      <c r="B59" s="17">
        <f>SUM(B60:B63)</f>
        <v>24477</v>
      </c>
      <c r="C59" s="22">
        <f>SUM(C60:C70)</f>
        <v>9175523</v>
      </c>
      <c r="D59" s="22">
        <f t="shared" ref="D59:E59" si="13">SUM(D60:D70)</f>
        <v>0</v>
      </c>
      <c r="E59" s="22">
        <f t="shared" si="13"/>
        <v>0</v>
      </c>
      <c r="F59" s="22"/>
      <c r="G59" s="22"/>
      <c r="H59" s="22"/>
      <c r="I59" s="22"/>
      <c r="J59" s="22"/>
      <c r="K59" s="22"/>
      <c r="L59" s="55">
        <f>SUM(L60:L70)</f>
        <v>0</v>
      </c>
      <c r="M59" s="55">
        <f>SUM(M60:M70)</f>
        <v>0</v>
      </c>
      <c r="N59" s="55">
        <f>SUM(N60:N70)</f>
        <v>0</v>
      </c>
      <c r="O59" s="57">
        <f>SUM(O60:O70)</f>
        <v>0</v>
      </c>
      <c r="P59" s="55">
        <f>SUM(P60:P63)</f>
        <v>0</v>
      </c>
    </row>
    <row r="60" spans="1:17" x14ac:dyDescent="0.35">
      <c r="A60" s="39" t="s">
        <v>60</v>
      </c>
      <c r="B60" s="18">
        <v>24477</v>
      </c>
      <c r="C60" s="25">
        <v>9175523</v>
      </c>
      <c r="D60" s="35">
        <v>0</v>
      </c>
      <c r="E60" s="35">
        <v>0</v>
      </c>
      <c r="F60" s="35"/>
      <c r="G60" s="35"/>
      <c r="H60" s="27"/>
      <c r="I60" s="27"/>
      <c r="J60" s="27"/>
      <c r="K60" s="27"/>
      <c r="L60" s="35"/>
      <c r="M60" s="35"/>
      <c r="N60" s="35"/>
      <c r="O60" s="27"/>
      <c r="P60" s="19">
        <f>SUM(D60:L60)</f>
        <v>0</v>
      </c>
    </row>
    <row r="61" spans="1:17" x14ac:dyDescent="0.35">
      <c r="A61" s="39" t="s">
        <v>61</v>
      </c>
      <c r="B61" s="19">
        <f t="shared" ref="B61:B70" si="14">SUM(D61:H61)</f>
        <v>0</v>
      </c>
      <c r="C61" s="25">
        <v>0</v>
      </c>
      <c r="D61" s="35">
        <v>0</v>
      </c>
      <c r="E61" s="35">
        <v>0</v>
      </c>
      <c r="F61" s="35"/>
      <c r="G61" s="35"/>
      <c r="H61" s="27"/>
      <c r="I61" s="27"/>
      <c r="J61" s="27"/>
      <c r="K61" s="27"/>
      <c r="L61" s="35"/>
      <c r="M61" s="35"/>
      <c r="N61" s="35"/>
      <c r="O61" s="27"/>
      <c r="P61" s="19">
        <f>SUM(D61:L61)</f>
        <v>0</v>
      </c>
    </row>
    <row r="62" spans="1:17" x14ac:dyDescent="0.35">
      <c r="A62" s="39" t="s">
        <v>62</v>
      </c>
      <c r="B62" s="19">
        <f t="shared" si="14"/>
        <v>0</v>
      </c>
      <c r="C62" s="25">
        <v>0</v>
      </c>
      <c r="D62" s="35">
        <v>0</v>
      </c>
      <c r="E62" s="35">
        <v>0</v>
      </c>
      <c r="F62" s="35"/>
      <c r="G62" s="35"/>
      <c r="H62" s="27"/>
      <c r="I62" s="27"/>
      <c r="J62" s="27"/>
      <c r="K62" s="27"/>
      <c r="L62" s="35"/>
      <c r="M62" s="35"/>
      <c r="N62" s="35"/>
      <c r="O62" s="27"/>
      <c r="P62" s="19">
        <f>SUM(D62:L62)</f>
        <v>0</v>
      </c>
    </row>
    <row r="63" spans="1:17" ht="42" x14ac:dyDescent="0.35">
      <c r="A63" s="39" t="s">
        <v>63</v>
      </c>
      <c r="B63" s="19">
        <f t="shared" si="14"/>
        <v>0</v>
      </c>
      <c r="C63" s="25">
        <v>0</v>
      </c>
      <c r="D63" s="35">
        <v>0</v>
      </c>
      <c r="E63" s="35">
        <v>0</v>
      </c>
      <c r="F63" s="35"/>
      <c r="G63" s="35"/>
      <c r="H63" s="27"/>
      <c r="I63" s="27"/>
      <c r="J63" s="27"/>
      <c r="K63" s="27"/>
      <c r="L63" s="35"/>
      <c r="M63" s="35"/>
      <c r="N63" s="35"/>
      <c r="O63" s="27"/>
      <c r="P63" s="19">
        <f>SUM(D63:L63)</f>
        <v>0</v>
      </c>
    </row>
    <row r="64" spans="1:17" x14ac:dyDescent="0.35">
      <c r="A64" s="38" t="s">
        <v>64</v>
      </c>
      <c r="B64" s="19">
        <f ca="1">SUM(B64:B66)</f>
        <v>0</v>
      </c>
      <c r="C64" s="19">
        <f t="shared" ref="C64" si="15">SUM(E64:I64)</f>
        <v>0</v>
      </c>
      <c r="D64" s="19">
        <f t="shared" ref="D64" si="16">SUM(F64:J64)</f>
        <v>0</v>
      </c>
      <c r="E64" s="19">
        <f t="shared" ref="E64" si="17">SUM(G64:K64)</f>
        <v>0</v>
      </c>
      <c r="F64" s="19"/>
      <c r="G64" s="19"/>
      <c r="H64" s="19"/>
      <c r="I64" s="19"/>
      <c r="J64" s="19"/>
      <c r="K64" s="19"/>
      <c r="L64" s="35"/>
      <c r="M64" s="35"/>
      <c r="N64" s="35"/>
      <c r="O64" s="27"/>
      <c r="P64" s="55">
        <f>SUM(P65:P70)</f>
        <v>0</v>
      </c>
    </row>
    <row r="65" spans="1:16" x14ac:dyDescent="0.35">
      <c r="A65" s="39" t="s">
        <v>65</v>
      </c>
      <c r="B65" s="19">
        <f>SUM(D65:H65)</f>
        <v>0</v>
      </c>
      <c r="C65" s="25">
        <v>0</v>
      </c>
      <c r="D65" s="35">
        <v>0</v>
      </c>
      <c r="E65" s="35">
        <v>0</v>
      </c>
      <c r="F65" s="35"/>
      <c r="G65" s="35"/>
      <c r="H65" s="27"/>
      <c r="I65" s="27"/>
      <c r="J65" s="27"/>
      <c r="K65" s="27"/>
      <c r="L65" s="35"/>
      <c r="M65" s="35"/>
      <c r="N65" s="35"/>
      <c r="O65" s="27"/>
      <c r="P65" s="19">
        <f t="shared" ref="P65:P70" si="18">SUM(D65:L65)</f>
        <v>0</v>
      </c>
    </row>
    <row r="66" spans="1:16" x14ac:dyDescent="0.35">
      <c r="A66" s="39" t="s">
        <v>66</v>
      </c>
      <c r="B66" s="19">
        <f t="shared" si="14"/>
        <v>0</v>
      </c>
      <c r="C66" s="25">
        <v>0</v>
      </c>
      <c r="D66" s="35">
        <v>0</v>
      </c>
      <c r="E66" s="35">
        <v>0</v>
      </c>
      <c r="F66" s="35"/>
      <c r="G66" s="35"/>
      <c r="H66" s="27"/>
      <c r="I66" s="27"/>
      <c r="J66" s="27"/>
      <c r="K66" s="27"/>
      <c r="L66" s="35"/>
      <c r="M66" s="35"/>
      <c r="N66" s="35"/>
      <c r="O66" s="27"/>
      <c r="P66" s="19">
        <f t="shared" si="18"/>
        <v>0</v>
      </c>
    </row>
    <row r="67" spans="1:16" x14ac:dyDescent="0.35">
      <c r="A67" s="38" t="s">
        <v>67</v>
      </c>
      <c r="B67" s="19">
        <f t="shared" si="14"/>
        <v>0</v>
      </c>
      <c r="C67" s="25">
        <v>0</v>
      </c>
      <c r="D67" s="35">
        <v>0</v>
      </c>
      <c r="E67" s="35">
        <v>0</v>
      </c>
      <c r="F67" s="35"/>
      <c r="G67" s="35"/>
      <c r="H67" s="27"/>
      <c r="I67" s="27"/>
      <c r="J67" s="27"/>
      <c r="K67" s="27"/>
      <c r="L67" s="35"/>
      <c r="M67" s="35"/>
      <c r="N67" s="35"/>
      <c r="O67" s="27"/>
      <c r="P67" s="19">
        <f t="shared" si="18"/>
        <v>0</v>
      </c>
    </row>
    <row r="68" spans="1:16" x14ac:dyDescent="0.35">
      <c r="A68" s="39" t="s">
        <v>68</v>
      </c>
      <c r="B68" s="19">
        <f t="shared" si="14"/>
        <v>0</v>
      </c>
      <c r="C68" s="25">
        <v>0</v>
      </c>
      <c r="D68" s="35">
        <v>0</v>
      </c>
      <c r="E68" s="35">
        <v>0</v>
      </c>
      <c r="F68" s="35"/>
      <c r="G68" s="35"/>
      <c r="H68" s="27"/>
      <c r="I68" s="27"/>
      <c r="J68" s="27"/>
      <c r="K68" s="27"/>
      <c r="L68" s="35"/>
      <c r="M68" s="35"/>
      <c r="N68" s="35"/>
      <c r="O68" s="27"/>
      <c r="P68" s="19">
        <f t="shared" si="18"/>
        <v>0</v>
      </c>
    </row>
    <row r="69" spans="1:16" x14ac:dyDescent="0.35">
      <c r="A69" s="39" t="s">
        <v>69</v>
      </c>
      <c r="B69" s="19">
        <f t="shared" si="14"/>
        <v>0</v>
      </c>
      <c r="C69" s="25">
        <v>0</v>
      </c>
      <c r="D69" s="35">
        <v>0</v>
      </c>
      <c r="E69" s="35">
        <v>0</v>
      </c>
      <c r="F69" s="35"/>
      <c r="G69" s="35"/>
      <c r="H69" s="27"/>
      <c r="I69" s="27"/>
      <c r="J69" s="27"/>
      <c r="K69" s="27"/>
      <c r="L69" s="35"/>
      <c r="M69" s="35"/>
      <c r="N69" s="35"/>
      <c r="O69" s="27"/>
      <c r="P69" s="19">
        <f t="shared" si="18"/>
        <v>0</v>
      </c>
    </row>
    <row r="70" spans="1:16" ht="21.75" thickBot="1" x14ac:dyDescent="0.4">
      <c r="A70" s="48" t="s">
        <v>70</v>
      </c>
      <c r="B70" s="49">
        <f t="shared" si="14"/>
        <v>0</v>
      </c>
      <c r="C70" s="50">
        <v>0</v>
      </c>
      <c r="D70" s="45">
        <v>0</v>
      </c>
      <c r="E70" s="45">
        <v>0</v>
      </c>
      <c r="F70" s="45"/>
      <c r="G70" s="45"/>
      <c r="H70" s="46"/>
      <c r="I70" s="46"/>
      <c r="J70" s="46"/>
      <c r="K70" s="27"/>
      <c r="L70" s="45"/>
      <c r="M70" s="45"/>
      <c r="N70" s="45"/>
      <c r="O70" s="27"/>
      <c r="P70" s="19">
        <f t="shared" si="18"/>
        <v>0</v>
      </c>
    </row>
    <row r="71" spans="1:16" s="6" customFormat="1" ht="21.75" thickBot="1" x14ac:dyDescent="0.4">
      <c r="A71" s="31" t="s">
        <v>71</v>
      </c>
      <c r="B71" s="32">
        <f t="shared" ref="B71:P71" ca="1" si="19">+B64+B59+B49+B42+B34+B24+B14+B8</f>
        <v>179756600</v>
      </c>
      <c r="C71" s="33">
        <f t="shared" si="19"/>
        <v>-1867465</v>
      </c>
      <c r="D71" s="32">
        <f t="shared" si="19"/>
        <v>7190719.1400000006</v>
      </c>
      <c r="E71" s="32">
        <f t="shared" si="19"/>
        <v>8707304.2400000002</v>
      </c>
      <c r="F71" s="32">
        <f t="shared" si="19"/>
        <v>10118668.800000001</v>
      </c>
      <c r="G71" s="32">
        <f t="shared" si="19"/>
        <v>8891987.4699999988</v>
      </c>
      <c r="H71" s="34">
        <f t="shared" si="19"/>
        <v>14663808.100000001</v>
      </c>
      <c r="I71" s="34">
        <f t="shared" si="19"/>
        <v>9798934.8399999999</v>
      </c>
      <c r="J71" s="34">
        <f t="shared" si="19"/>
        <v>10790483.949999999</v>
      </c>
      <c r="K71" s="34">
        <f t="shared" si="19"/>
        <v>11060188.359999999</v>
      </c>
      <c r="L71" s="34">
        <f t="shared" si="19"/>
        <v>9370469.3199999984</v>
      </c>
      <c r="M71" s="32">
        <f t="shared" si="19"/>
        <v>0</v>
      </c>
      <c r="N71" s="34">
        <f t="shared" si="19"/>
        <v>0</v>
      </c>
      <c r="O71" s="34">
        <f t="shared" si="19"/>
        <v>0</v>
      </c>
      <c r="P71" s="34">
        <f t="shared" si="19"/>
        <v>90592564.219999999</v>
      </c>
    </row>
    <row r="72" spans="1:16" x14ac:dyDescent="0.35">
      <c r="A72" s="39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7"/>
    </row>
    <row r="73" spans="1:16" x14ac:dyDescent="0.35">
      <c r="A73" s="37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1"/>
    </row>
    <row r="74" spans="1:16" x14ac:dyDescent="0.35">
      <c r="A74" s="37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3"/>
    </row>
    <row r="75" spans="1:16" x14ac:dyDescent="0.35">
      <c r="A75" s="42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3"/>
    </row>
    <row r="76" spans="1:16" x14ac:dyDescent="0.35">
      <c r="A76" s="42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3"/>
    </row>
    <row r="77" spans="1:16" x14ac:dyDescent="0.35">
      <c r="A77" s="37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3"/>
    </row>
    <row r="78" spans="1:16" x14ac:dyDescent="0.35">
      <c r="A78" s="42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3"/>
    </row>
    <row r="79" spans="1:16" x14ac:dyDescent="0.35">
      <c r="A79" s="42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3"/>
    </row>
    <row r="80" spans="1:16" x14ac:dyDescent="0.35">
      <c r="A80" s="37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3"/>
    </row>
    <row r="81" spans="1:16" ht="21.75" thickBot="1" x14ac:dyDescent="0.4">
      <c r="A81" s="42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4"/>
    </row>
    <row r="82" spans="1:16" ht="21.75" thickBot="1" x14ac:dyDescent="0.4">
      <c r="A82" s="31" t="s">
        <v>81</v>
      </c>
      <c r="B82" s="32">
        <f ca="1">+B71</f>
        <v>179756600</v>
      </c>
      <c r="C82" s="32">
        <f t="shared" ref="C82" si="20">+C71</f>
        <v>-1867465</v>
      </c>
      <c r="D82" s="32">
        <f t="shared" ref="D82:J82" si="21">+D71</f>
        <v>7190719.1400000006</v>
      </c>
      <c r="E82" s="32">
        <f t="shared" si="21"/>
        <v>8707304.2400000002</v>
      </c>
      <c r="F82" s="32">
        <f t="shared" si="21"/>
        <v>10118668.800000001</v>
      </c>
      <c r="G82" s="32">
        <f t="shared" si="21"/>
        <v>8891987.4699999988</v>
      </c>
      <c r="H82" s="32">
        <f t="shared" si="21"/>
        <v>14663808.100000001</v>
      </c>
      <c r="I82" s="32">
        <f t="shared" si="21"/>
        <v>9798934.8399999999</v>
      </c>
      <c r="J82" s="32">
        <f t="shared" si="21"/>
        <v>10790483.949999999</v>
      </c>
      <c r="K82" s="32">
        <f>+K71</f>
        <v>11060188.359999999</v>
      </c>
      <c r="L82" s="32">
        <f t="shared" ref="L82:O82" si="22">+L71</f>
        <v>9370469.3199999984</v>
      </c>
      <c r="M82" s="32">
        <f t="shared" si="22"/>
        <v>0</v>
      </c>
      <c r="N82" s="32">
        <f t="shared" si="22"/>
        <v>0</v>
      </c>
      <c r="O82" s="32">
        <f t="shared" si="22"/>
        <v>0</v>
      </c>
      <c r="P82" s="32">
        <f>+P71</f>
        <v>90592564.219999999</v>
      </c>
    </row>
    <row r="83" spans="1:16" customFormat="1" ht="19.5" customHeight="1" x14ac:dyDescent="0.3">
      <c r="A83" s="58" t="s">
        <v>96</v>
      </c>
    </row>
    <row r="84" spans="1:16" customFormat="1" ht="23.25" x14ac:dyDescent="0.35">
      <c r="A84" s="59" t="s">
        <v>1</v>
      </c>
      <c r="K84" s="13"/>
    </row>
    <row r="85" spans="1:16" customFormat="1" ht="20.25" customHeight="1" x14ac:dyDescent="0.35">
      <c r="A85" s="59" t="s">
        <v>97</v>
      </c>
      <c r="K85" s="16"/>
    </row>
    <row r="86" spans="1:16" customFormat="1" ht="20.25" customHeight="1" x14ac:dyDescent="0.3">
      <c r="A86" s="59" t="s">
        <v>99</v>
      </c>
    </row>
    <row r="87" spans="1:16" customFormat="1" ht="20.25" customHeight="1" x14ac:dyDescent="0.3">
      <c r="A87" s="59" t="s">
        <v>100</v>
      </c>
      <c r="E87" s="64"/>
    </row>
    <row r="88" spans="1:16" customFormat="1" ht="20.25" customHeight="1" x14ac:dyDescent="0.35">
      <c r="A88" s="59" t="s">
        <v>3</v>
      </c>
      <c r="K88" s="13"/>
    </row>
    <row r="89" spans="1:16" customFormat="1" ht="20.25" customHeight="1" x14ac:dyDescent="0.35">
      <c r="A89" s="59" t="s">
        <v>98</v>
      </c>
      <c r="K89" s="13"/>
    </row>
    <row r="90" spans="1:16" ht="23.25" x14ac:dyDescent="0.35">
      <c r="B90" s="54"/>
      <c r="C90" s="54"/>
      <c r="D90" s="54"/>
      <c r="E90" s="14"/>
      <c r="F90" s="14"/>
      <c r="G90" s="13"/>
      <c r="H90" s="54"/>
      <c r="I90" s="54"/>
      <c r="J90" s="54"/>
      <c r="K90" s="54"/>
      <c r="L90" s="4"/>
      <c r="M90" s="4"/>
      <c r="N90" s="4"/>
      <c r="O90" s="4"/>
      <c r="P90" s="54"/>
    </row>
    <row r="91" spans="1:16" ht="23.25" x14ac:dyDescent="0.35">
      <c r="B91" s="13"/>
      <c r="C91" s="60" t="s">
        <v>105</v>
      </c>
      <c r="D91" s="14"/>
      <c r="E91" s="14"/>
      <c r="F91" s="14"/>
      <c r="G91" s="13"/>
      <c r="H91" s="60" t="s">
        <v>102</v>
      </c>
      <c r="I91" s="13"/>
      <c r="J91" s="13"/>
      <c r="K91" s="13"/>
      <c r="P91" s="14"/>
    </row>
    <row r="92" spans="1:16" ht="23.25" x14ac:dyDescent="0.35">
      <c r="B92" s="13"/>
      <c r="C92" s="13"/>
      <c r="D92" s="14"/>
      <c r="E92" s="14"/>
      <c r="F92" s="14"/>
      <c r="G92" s="15"/>
      <c r="H92" s="16"/>
      <c r="I92" s="16"/>
      <c r="J92" s="16"/>
      <c r="K92" s="13"/>
      <c r="P92" s="16"/>
    </row>
    <row r="93" spans="1:16" ht="23.25" x14ac:dyDescent="0.35">
      <c r="B93" s="53"/>
      <c r="C93" s="53"/>
      <c r="D93" s="53"/>
      <c r="E93" s="14"/>
      <c r="F93" s="14"/>
      <c r="G93" s="13"/>
      <c r="H93" s="53"/>
      <c r="I93" s="53"/>
      <c r="J93" s="53"/>
      <c r="K93" s="53"/>
      <c r="P93" s="53"/>
    </row>
    <row r="94" spans="1:16" ht="23.25" x14ac:dyDescent="0.35">
      <c r="B94" s="53"/>
      <c r="C94" s="60" t="s">
        <v>106</v>
      </c>
      <c r="D94" s="53"/>
      <c r="E94" s="13"/>
      <c r="F94" s="13"/>
      <c r="G94" s="13"/>
      <c r="H94" s="53" t="s">
        <v>103</v>
      </c>
      <c r="I94" s="53"/>
      <c r="J94" s="53"/>
      <c r="K94" s="53"/>
      <c r="P94" s="53"/>
    </row>
    <row r="95" spans="1:16" ht="23.25" x14ac:dyDescent="0.35">
      <c r="C95" s="61" t="s">
        <v>107</v>
      </c>
      <c r="D95" s="63"/>
      <c r="E95" s="13"/>
      <c r="F95" s="13"/>
      <c r="G95" s="61" t="s">
        <v>104</v>
      </c>
      <c r="H95" s="62"/>
      <c r="I95" s="63"/>
      <c r="J95" s="13"/>
      <c r="K95" s="47"/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4"/>
      <c r="F97" s="54"/>
      <c r="G97" s="54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3"/>
      <c r="F99" s="53"/>
      <c r="G99" s="53"/>
      <c r="H99" s="13"/>
      <c r="I99" s="13"/>
      <c r="J99" s="13"/>
      <c r="P99" s="13"/>
    </row>
    <row r="100" spans="2:16" ht="23.25" x14ac:dyDescent="0.35">
      <c r="B100" s="13"/>
      <c r="C100" s="13"/>
      <c r="D100" s="47"/>
      <c r="E100" s="47"/>
      <c r="F100" s="47"/>
      <c r="G100" s="47"/>
      <c r="H100" s="47"/>
      <c r="I100" s="47"/>
      <c r="J100" s="47"/>
      <c r="P100" s="13"/>
    </row>
  </sheetData>
  <mergeCells count="4"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scale="34" orientation="landscape" r:id="rId1"/>
  <rowBreaks count="1" manualBreakCount="1">
    <brk id="55" max="16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CB29-BA90-4D21-8D1B-61109E681D56}">
  <dimension ref="A1"/>
  <sheetViews>
    <sheetView workbookViewId="0">
      <selection activeCell="S17" sqref="S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Presupuestaria </vt:lpstr>
      <vt:lpstr>Hoja2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2022-10-12T18:26:23Z</cp:lastPrinted>
  <dcterms:created xsi:type="dcterms:W3CDTF">2022-06-01T19:16:27Z</dcterms:created>
  <dcterms:modified xsi:type="dcterms:W3CDTF">2022-10-12T18:26:34Z</dcterms:modified>
</cp:coreProperties>
</file>